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tabRatio="897" activeTab="3"/>
  </bookViews>
  <sheets>
    <sheet name="Original" sheetId="1" r:id="rId1"/>
    <sheet name="Plan1" sheetId="2" r:id="rId2"/>
    <sheet name="Consolidado" sheetId="3" r:id="rId3"/>
    <sheet name="Orçamento Fates 2014" sheetId="4" r:id="rId4"/>
    <sheet name="Janeiro" sheetId="5" r:id="rId5"/>
    <sheet name="Fevereiro" sheetId="6" r:id="rId6"/>
    <sheet name="Março" sheetId="7" r:id="rId7"/>
    <sheet name="Abril" sheetId="8" r:id="rId8"/>
  </sheets>
  <definedNames>
    <definedName name="_xlnm.Print_Area" localSheetId="2">'Consolidado'!$A$3:$O$34</definedName>
    <definedName name="_xlnm.Print_Area" localSheetId="3">'Orçamento Fates 2014'!$A$2:$R$38</definedName>
    <definedName name="_xlnm.Print_Area" localSheetId="0">'Original'!$A$2:$N$50</definedName>
  </definedNames>
  <calcPr fullCalcOnLoad="1"/>
</workbook>
</file>

<file path=xl/comments3.xml><?xml version="1.0" encoding="utf-8"?>
<comments xmlns="http://schemas.openxmlformats.org/spreadsheetml/2006/main">
  <authors>
    <author>jose.menegardo</author>
  </authors>
  <commentList>
    <comment ref="B19" authorId="0">
      <text>
        <r>
          <rPr>
            <b/>
            <sz val="8"/>
            <rFont val="Tahoma"/>
            <family val="2"/>
          </rPr>
          <t>jose.menegardo:</t>
        </r>
        <r>
          <rPr>
            <sz val="8"/>
            <rFont val="Tahoma"/>
            <family val="2"/>
          </rPr>
          <t xml:space="preserve">
Viagem Aleksandro e Alex- Barcarena/Carajás e Gov. Valadares
</t>
        </r>
      </text>
    </comment>
  </commentList>
</comments>
</file>

<file path=xl/comments4.xml><?xml version="1.0" encoding="utf-8"?>
<comments xmlns="http://schemas.openxmlformats.org/spreadsheetml/2006/main">
  <authors>
    <author>jose.menegardo</author>
  </authors>
  <commentList>
    <comment ref="F27" authorId="0">
      <text>
        <r>
          <rPr>
            <b/>
            <sz val="9"/>
            <rFont val="Tahoma"/>
            <family val="2"/>
          </rPr>
          <t>jose.menegardo:</t>
        </r>
        <r>
          <rPr>
            <sz val="9"/>
            <rFont val="Tahoma"/>
            <family val="2"/>
          </rPr>
          <t xml:space="preserve">
Destinação de 60% das sobras para o FATES
</t>
        </r>
      </text>
    </comment>
  </commentList>
</comments>
</file>

<file path=xl/sharedStrings.xml><?xml version="1.0" encoding="utf-8"?>
<sst xmlns="http://schemas.openxmlformats.org/spreadsheetml/2006/main" count="227" uniqueCount="118">
  <si>
    <t>Composição do FATES</t>
  </si>
  <si>
    <t>Contabilização</t>
  </si>
  <si>
    <t>Até fev/2007 Conta 885-1</t>
  </si>
  <si>
    <t>Mês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</si>
  <si>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</si>
  <si>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</si>
  <si>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</si>
  <si>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</si>
  <si>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</si>
  <si>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</si>
  <si>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</si>
  <si>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</si>
  <si>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</si>
  <si>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</si>
  <si>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</si>
  <si>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</si>
  <si>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Saldo inicial</t>
  </si>
  <si>
    <t xml:space="preserve">Eventos </t>
  </si>
  <si>
    <t>Confecção de jornal</t>
  </si>
  <si>
    <t>Seguro funeral</t>
  </si>
  <si>
    <t xml:space="preserve">Pagamento entidade de classe </t>
  </si>
  <si>
    <t>Almoço de confraternização - funcionários</t>
  </si>
  <si>
    <t>Informativo associados</t>
  </si>
  <si>
    <t>Divulgação Coopvale</t>
  </si>
  <si>
    <t>Doações</t>
  </si>
  <si>
    <t>Auxilio a Familia do Cooperado Falecido</t>
  </si>
  <si>
    <t>Brindes associados</t>
  </si>
  <si>
    <t>Total das saídas</t>
  </si>
  <si>
    <t>Reembolso de seguro</t>
  </si>
  <si>
    <t>Prestação contas de viagem</t>
  </si>
  <si>
    <t>Outros créditos/reversões</t>
  </si>
  <si>
    <t>Total das entradas</t>
  </si>
  <si>
    <t>Saldo final</t>
  </si>
  <si>
    <t>Resumo</t>
  </si>
  <si>
    <t>Aplicação</t>
  </si>
  <si>
    <t xml:space="preserve">   </t>
  </si>
  <si>
    <t>Confecção e postagem de jornal, brindes e outros</t>
  </si>
  <si>
    <t>Gastos com AGO</t>
  </si>
  <si>
    <t>Reembolso educacional/Cursos técnicos</t>
  </si>
  <si>
    <t>Conselho regional - entidade de classe</t>
  </si>
  <si>
    <t>Confraternização funcionários</t>
  </si>
  <si>
    <t>Saldo no final do mês</t>
  </si>
  <si>
    <t>Reembolso educação</t>
  </si>
  <si>
    <t>Despesas de viagem AGO</t>
  </si>
  <si>
    <t>Destinação sobras 2007 - AGO 2009</t>
  </si>
  <si>
    <t>Destinação sobras 2008 - AGO 2009</t>
  </si>
  <si>
    <t>Apartir de fev/2007 conta :  4053-4</t>
  </si>
  <si>
    <t>Atos Não Cooperativos    :  4054-1</t>
  </si>
  <si>
    <t>Destinação Estatutária 2009 - 10%</t>
  </si>
  <si>
    <t>Gastos de viagem a trabalho</t>
  </si>
  <si>
    <t xml:space="preserve">Cesta de Natal </t>
  </si>
  <si>
    <t>Atos Não Copperativos 2011</t>
  </si>
  <si>
    <t>Atos Não Copperativos 2010 e 2011</t>
  </si>
  <si>
    <t>Buffet/Lanches</t>
  </si>
  <si>
    <t>Cursos/Treinamento</t>
  </si>
  <si>
    <t>Destinação Sobras AGO</t>
  </si>
  <si>
    <t>ABF</t>
  </si>
  <si>
    <t>ANO 2013</t>
  </si>
  <si>
    <t>Hospedagens</t>
  </si>
  <si>
    <t>Passagens aéreas/gastos diversos</t>
  </si>
  <si>
    <t>Composição do FATES  2013</t>
  </si>
  <si>
    <t>Destinação Estatutária 5% das sobras apuradas</t>
  </si>
  <si>
    <t>SICOOB COOPVALE</t>
  </si>
  <si>
    <t>Saldo em 31/12/2012</t>
  </si>
  <si>
    <t xml:space="preserve">     Capemisa</t>
  </si>
  <si>
    <t xml:space="preserve">     ABF</t>
  </si>
  <si>
    <t xml:space="preserve">        Rafhael</t>
  </si>
  <si>
    <t xml:space="preserve">        Verônica</t>
  </si>
  <si>
    <t xml:space="preserve">        Priscila</t>
  </si>
  <si>
    <t xml:space="preserve">        Jorge Neves</t>
  </si>
  <si>
    <t xml:space="preserve">        Marcos Oliveira</t>
  </si>
  <si>
    <t>Auxilio Funeral</t>
  </si>
  <si>
    <t>Classificação</t>
  </si>
  <si>
    <t>Social</t>
  </si>
  <si>
    <t>Educacional</t>
  </si>
  <si>
    <t>Não se aplica</t>
  </si>
  <si>
    <t>Destinação sobras</t>
  </si>
  <si>
    <t>Técnica</t>
  </si>
  <si>
    <t>Sicoob Coopvale</t>
  </si>
  <si>
    <t>Conta : Fates</t>
  </si>
  <si>
    <t>Mês : Janeiro de 2014</t>
  </si>
  <si>
    <t>Valor</t>
  </si>
  <si>
    <t>Descrição</t>
  </si>
  <si>
    <t>Reembolso Educacional Carlos Raphael</t>
  </si>
  <si>
    <t>Reembolso Educacional Jorge Neves</t>
  </si>
  <si>
    <t>Reembolso Educacional Marcos Oliveira</t>
  </si>
  <si>
    <t>Reembolso Educacional Priscila</t>
  </si>
  <si>
    <t>Reembolso Educacional Veônica Regina</t>
  </si>
  <si>
    <t>Diária Treinamento Petrópolis _ Acerto de faturamento</t>
  </si>
  <si>
    <t>Contratação do músico festa 45 anos - baixa de adiantamento</t>
  </si>
  <si>
    <t>Inclusão digital - baixa de adiantamento 2º semestre de 2013</t>
  </si>
  <si>
    <t>Cesta de Natal Funcionária Elizandra</t>
  </si>
  <si>
    <t>Cesta de Natal Funcionária  Mirele</t>
  </si>
  <si>
    <t>Cesta de Natal Funcionaria Petrina</t>
  </si>
  <si>
    <t>Mês : Fevereiro de 2014</t>
  </si>
  <si>
    <t>Reembolso Educacional Verônica Regina</t>
  </si>
  <si>
    <t>Reembolso Educacional Ana Luiza</t>
  </si>
  <si>
    <t>Reembolso Educacional Higor janeiro e fevereiro</t>
  </si>
  <si>
    <t>Divulgação Coopvale / Jornal do Cooperativismo</t>
  </si>
  <si>
    <t>Cesta de Natal Funcionaria Arlecy</t>
  </si>
  <si>
    <t>Mês : Março de 2014</t>
  </si>
  <si>
    <t>REALIZADO ATÉ MARÇO</t>
  </si>
  <si>
    <t>Custo ABF</t>
  </si>
  <si>
    <t xml:space="preserve">Atos Não Cooperativos </t>
  </si>
  <si>
    <t xml:space="preserve">Destinação Estatutária </t>
  </si>
  <si>
    <t>Saldo em 31/12/2013</t>
  </si>
  <si>
    <t>ORÇAMENTO APROVADO NA AGO DE 29/04/2014</t>
  </si>
  <si>
    <t xml:space="preserve">Confraternização </t>
  </si>
  <si>
    <t>Números de Associados Associados em: (*)</t>
  </si>
  <si>
    <t>Gastos de viagem a trabalho/treinamento</t>
  </si>
  <si>
    <t>ORÇAMENTO</t>
  </si>
  <si>
    <t>REALIZADO</t>
  </si>
  <si>
    <t>REALIZADO ATÉ ABRIL</t>
  </si>
  <si>
    <t>Reembolso Educacional Ana Luiza Passos - Março</t>
  </si>
  <si>
    <t>Reembolso Educacional Ana Luiza Passos - Abril</t>
  </si>
  <si>
    <t>Reembolso Educacional Higor P. Magalhaes</t>
  </si>
  <si>
    <t>ORÇAMENTO DO FATES SUBMETIDO E APROVADO NA AGO DE 29/04/2014</t>
  </si>
  <si>
    <t>ORÇAMENTO DO FATES 2014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</si>
</sst>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mm/yy"/>
    <numFmt numFmtId="173" formatCode="_(* #,##0.00_);_(* \(#,##0.00\);_(* \-??_);_(@_)"/>
    <numFmt numFmtId="174" formatCode="#,##0.0000_);[Red]\(#,##0.0000\)"/>
    <numFmt numFmtId="175" formatCode="#,##0.00;[Red]#,##0.00"/>
    <numFmt numFmtId="176" formatCode="#,##0.00_ ;[Red]\-#,##0.00\ "/>
    <numFmt numFmtId="177" formatCode="#,##0.00_);\(#,##0.00\)"/>
    <numFmt numFmtId="178" formatCode="dd&quot;/&quot;mm&quot;/&quot;yyyy"/>
  </numFmts>
  <fonts count="5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sz val="16"/>
      <name val="Arial"/>
      <family val="2"/>
    </font>
    <font>
      <b/>
      <u val="double"/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name val="Times New Roman"/>
      <family val="1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sz val="13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9" fillId="21" borderId="5" applyNumberFormat="0" applyAlignment="0" applyProtection="0"/>
    <xf numFmtId="169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173" fontId="0" fillId="0" borderId="0" applyFill="0" applyBorder="0" applyAlignment="0" applyProtection="0"/>
  </cellStyleXfs>
  <cellXfs count="25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3" fillId="0" borderId="13" xfId="0" applyFont="1" applyBorder="1" applyAlignment="1">
      <alignment/>
    </xf>
    <xf numFmtId="172" fontId="1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172" fontId="0" fillId="0" borderId="14" xfId="0" applyNumberFormat="1" applyBorder="1" applyAlignment="1">
      <alignment horizontal="center"/>
    </xf>
    <xf numFmtId="0" fontId="1" fillId="0" borderId="15" xfId="0" applyFont="1" applyBorder="1" applyAlignment="1">
      <alignment horizontal="right"/>
    </xf>
    <xf numFmtId="39" fontId="1" fillId="0" borderId="16" xfId="0" applyNumberFormat="1" applyFont="1" applyBorder="1" applyAlignment="1">
      <alignment/>
    </xf>
    <xf numFmtId="40" fontId="0" fillId="0" borderId="0" xfId="0" applyNumberFormat="1" applyAlignment="1">
      <alignment/>
    </xf>
    <xf numFmtId="0" fontId="0" fillId="0" borderId="13" xfId="0" applyBorder="1" applyAlignment="1">
      <alignment/>
    </xf>
    <xf numFmtId="40" fontId="0" fillId="0" borderId="14" xfId="0" applyNumberFormat="1" applyBorder="1" applyAlignment="1">
      <alignment/>
    </xf>
    <xf numFmtId="40" fontId="0" fillId="0" borderId="16" xfId="0" applyNumberFormat="1" applyBorder="1" applyAlignment="1">
      <alignment/>
    </xf>
    <xf numFmtId="0" fontId="0" fillId="0" borderId="17" xfId="0" applyFont="1" applyBorder="1" applyAlignment="1">
      <alignment/>
    </xf>
    <xf numFmtId="0" fontId="1" fillId="0" borderId="15" xfId="0" applyFont="1" applyBorder="1" applyAlignment="1">
      <alignment/>
    </xf>
    <xf numFmtId="40" fontId="1" fillId="0" borderId="16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3" fillId="0" borderId="21" xfId="0" applyFont="1" applyBorder="1" applyAlignment="1">
      <alignment/>
    </xf>
    <xf numFmtId="172" fontId="1" fillId="0" borderId="13" xfId="0" applyNumberFormat="1" applyFont="1" applyBorder="1" applyAlignment="1">
      <alignment horizontal="center"/>
    </xf>
    <xf numFmtId="0" fontId="1" fillId="0" borderId="21" xfId="0" applyFont="1" applyBorder="1" applyAlignment="1">
      <alignment/>
    </xf>
    <xf numFmtId="172" fontId="0" fillId="0" borderId="13" xfId="0" applyNumberFormat="1" applyBorder="1" applyAlignment="1">
      <alignment horizontal="center"/>
    </xf>
    <xf numFmtId="172" fontId="0" fillId="0" borderId="22" xfId="0" applyNumberFormat="1" applyBorder="1" applyAlignment="1">
      <alignment horizontal="center"/>
    </xf>
    <xf numFmtId="172" fontId="0" fillId="0" borderId="23" xfId="0" applyNumberFormat="1" applyBorder="1" applyAlignment="1">
      <alignment horizontal="center"/>
    </xf>
    <xf numFmtId="39" fontId="1" fillId="0" borderId="10" xfId="0" applyNumberFormat="1" applyFont="1" applyBorder="1" applyAlignment="1">
      <alignment/>
    </xf>
    <xf numFmtId="0" fontId="0" fillId="0" borderId="21" xfId="0" applyBorder="1" applyAlignment="1">
      <alignment/>
    </xf>
    <xf numFmtId="40" fontId="0" fillId="0" borderId="13" xfId="0" applyNumberFormat="1" applyBorder="1" applyAlignment="1">
      <alignment/>
    </xf>
    <xf numFmtId="40" fontId="0" fillId="0" borderId="0" xfId="0" applyNumberFormat="1" applyBorder="1" applyAlignment="1">
      <alignment/>
    </xf>
    <xf numFmtId="173" fontId="0" fillId="0" borderId="16" xfId="60" applyFont="1" applyFill="1" applyBorder="1" applyAlignment="1" applyProtection="1">
      <alignment/>
      <protection/>
    </xf>
    <xf numFmtId="173" fontId="0" fillId="0" borderId="10" xfId="60" applyFont="1" applyFill="1" applyBorder="1" applyAlignment="1" applyProtection="1">
      <alignment/>
      <protection/>
    </xf>
    <xf numFmtId="40" fontId="0" fillId="0" borderId="10" xfId="0" applyNumberFormat="1" applyBorder="1" applyAlignment="1">
      <alignment/>
    </xf>
    <xf numFmtId="40" fontId="1" fillId="0" borderId="10" xfId="0" applyNumberFormat="1" applyFont="1" applyBorder="1" applyAlignment="1">
      <alignment/>
    </xf>
    <xf numFmtId="0" fontId="0" fillId="0" borderId="17" xfId="0" applyFont="1" applyFill="1" applyBorder="1" applyAlignment="1">
      <alignment/>
    </xf>
    <xf numFmtId="173" fontId="1" fillId="0" borderId="16" xfId="0" applyNumberFormat="1" applyFont="1" applyBorder="1" applyAlignment="1">
      <alignment/>
    </xf>
    <xf numFmtId="40" fontId="1" fillId="0" borderId="24" xfId="0" applyNumberFormat="1" applyFont="1" applyBorder="1" applyAlignment="1">
      <alignment/>
    </xf>
    <xf numFmtId="40" fontId="1" fillId="0" borderId="25" xfId="0" applyNumberFormat="1" applyFont="1" applyBorder="1" applyAlignment="1">
      <alignment/>
    </xf>
    <xf numFmtId="40" fontId="1" fillId="0" borderId="26" xfId="0" applyNumberFormat="1" applyFont="1" applyBorder="1" applyAlignment="1">
      <alignment/>
    </xf>
    <xf numFmtId="40" fontId="1" fillId="0" borderId="27" xfId="0" applyNumberFormat="1" applyFont="1" applyBorder="1" applyAlignment="1">
      <alignment/>
    </xf>
    <xf numFmtId="40" fontId="1" fillId="0" borderId="28" xfId="0" applyNumberFormat="1" applyFont="1" applyBorder="1" applyAlignment="1">
      <alignment/>
    </xf>
    <xf numFmtId="40" fontId="1" fillId="0" borderId="13" xfId="0" applyNumberFormat="1" applyFont="1" applyBorder="1" applyAlignment="1">
      <alignment/>
    </xf>
    <xf numFmtId="0" fontId="0" fillId="0" borderId="29" xfId="0" applyBorder="1" applyAlignment="1">
      <alignment/>
    </xf>
    <xf numFmtId="172" fontId="5" fillId="0" borderId="21" xfId="0" applyNumberFormat="1" applyFont="1" applyBorder="1" applyAlignment="1">
      <alignment horizontal="center"/>
    </xf>
    <xf numFmtId="172" fontId="0" fillId="0" borderId="30" xfId="0" applyNumberFormat="1" applyBorder="1" applyAlignment="1">
      <alignment horizontal="center"/>
    </xf>
    <xf numFmtId="39" fontId="1" fillId="0" borderId="19" xfId="0" applyNumberFormat="1" applyFont="1" applyBorder="1" applyAlignment="1">
      <alignment/>
    </xf>
    <xf numFmtId="40" fontId="0" fillId="0" borderId="21" xfId="0" applyNumberFormat="1" applyBorder="1" applyAlignment="1">
      <alignment/>
    </xf>
    <xf numFmtId="173" fontId="0" fillId="0" borderId="21" xfId="60" applyFont="1" applyFill="1" applyBorder="1" applyAlignment="1" applyProtection="1">
      <alignment/>
      <protection/>
    </xf>
    <xf numFmtId="40" fontId="0" fillId="0" borderId="19" xfId="0" applyNumberFormat="1" applyBorder="1" applyAlignment="1">
      <alignment/>
    </xf>
    <xf numFmtId="40" fontId="1" fillId="0" borderId="31" xfId="0" applyNumberFormat="1" applyFont="1" applyBorder="1" applyAlignment="1">
      <alignment/>
    </xf>
    <xf numFmtId="0" fontId="0" fillId="0" borderId="13" xfId="0" applyFont="1" applyBorder="1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Border="1" applyAlignment="1">
      <alignment/>
    </xf>
    <xf numFmtId="39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177" fontId="9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176" fontId="9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7" fontId="10" fillId="0" borderId="0" xfId="0" applyNumberFormat="1" applyFont="1" applyFill="1" applyAlignment="1">
      <alignment horizontal="right" vertical="center"/>
    </xf>
    <xf numFmtId="0" fontId="11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177" fontId="9" fillId="0" borderId="0" xfId="0" applyNumberFormat="1" applyFont="1" applyFill="1" applyAlignment="1">
      <alignment horizontal="right" vertical="center"/>
    </xf>
    <xf numFmtId="177" fontId="12" fillId="0" borderId="0" xfId="0" applyNumberFormat="1" applyFont="1" applyAlignment="1">
      <alignment horizontal="right" vertical="center"/>
    </xf>
    <xf numFmtId="0" fontId="0" fillId="0" borderId="0" xfId="0" applyFont="1" applyFill="1" applyAlignment="1">
      <alignment/>
    </xf>
    <xf numFmtId="177" fontId="9" fillId="4" borderId="0" xfId="0" applyNumberFormat="1" applyFont="1" applyFill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1" fillId="0" borderId="32" xfId="0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172" fontId="5" fillId="0" borderId="34" xfId="0" applyNumberFormat="1" applyFont="1" applyFill="1" applyBorder="1" applyAlignment="1">
      <alignment horizontal="center"/>
    </xf>
    <xf numFmtId="10" fontId="0" fillId="0" borderId="34" xfId="49" applyNumberFormat="1" applyFont="1" applyFill="1" applyBorder="1" applyAlignment="1" applyProtection="1">
      <alignment/>
      <protection/>
    </xf>
    <xf numFmtId="40" fontId="0" fillId="0" borderId="35" xfId="0" applyNumberFormat="1" applyBorder="1" applyAlignment="1">
      <alignment/>
    </xf>
    <xf numFmtId="10" fontId="1" fillId="0" borderId="36" xfId="0" applyNumberFormat="1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10" fontId="1" fillId="0" borderId="39" xfId="0" applyNumberFormat="1" applyFont="1" applyBorder="1" applyAlignment="1">
      <alignment/>
    </xf>
    <xf numFmtId="0" fontId="0" fillId="0" borderId="40" xfId="0" applyBorder="1" applyAlignment="1">
      <alignment/>
    </xf>
    <xf numFmtId="0" fontId="0" fillId="0" borderId="40" xfId="0" applyFont="1" applyBorder="1" applyAlignment="1">
      <alignment/>
    </xf>
    <xf numFmtId="10" fontId="1" fillId="0" borderId="40" xfId="0" applyNumberFormat="1" applyFont="1" applyBorder="1" applyAlignment="1">
      <alignment/>
    </xf>
    <xf numFmtId="0" fontId="0" fillId="0" borderId="0" xfId="0" applyFont="1" applyBorder="1" applyAlignment="1">
      <alignment/>
    </xf>
    <xf numFmtId="40" fontId="0" fillId="0" borderId="0" xfId="0" applyNumberFormat="1" applyFont="1" applyBorder="1" applyAlignment="1">
      <alignment/>
    </xf>
    <xf numFmtId="0" fontId="0" fillId="0" borderId="17" xfId="0" applyFont="1" applyFill="1" applyBorder="1" applyAlignment="1">
      <alignment/>
    </xf>
    <xf numFmtId="40" fontId="0" fillId="0" borderId="0" xfId="0" applyNumberFormat="1" applyFont="1" applyAlignment="1">
      <alignment/>
    </xf>
    <xf numFmtId="176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177" fontId="13" fillId="0" borderId="0" xfId="0" applyNumberFormat="1" applyFont="1" applyAlignment="1">
      <alignment horizontal="right" vertical="center"/>
    </xf>
    <xf numFmtId="39" fontId="0" fillId="0" borderId="0" xfId="0" applyNumberFormat="1" applyFont="1" applyBorder="1" applyAlignment="1">
      <alignment/>
    </xf>
    <xf numFmtId="173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39" fontId="1" fillId="8" borderId="16" xfId="0" applyNumberFormat="1" applyFont="1" applyFill="1" applyBorder="1" applyAlignment="1">
      <alignment/>
    </xf>
    <xf numFmtId="39" fontId="1" fillId="33" borderId="16" xfId="0" applyNumberFormat="1" applyFont="1" applyFill="1" applyBorder="1" applyAlignment="1">
      <alignment/>
    </xf>
    <xf numFmtId="0" fontId="9" fillId="8" borderId="0" xfId="0" applyNumberFormat="1" applyFont="1" applyFill="1" applyBorder="1" applyAlignment="1" applyProtection="1">
      <alignment/>
      <protection/>
    </xf>
    <xf numFmtId="177" fontId="9" fillId="8" borderId="0" xfId="0" applyNumberFormat="1" applyFont="1" applyFill="1" applyAlignment="1">
      <alignment horizontal="right" vertical="center"/>
    </xf>
    <xf numFmtId="172" fontId="0" fillId="33" borderId="14" xfId="0" applyNumberFormat="1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40" fontId="0" fillId="33" borderId="14" xfId="0" applyNumberFormat="1" applyFont="1" applyFill="1" applyBorder="1" applyAlignment="1">
      <alignment/>
    </xf>
    <xf numFmtId="40" fontId="0" fillId="33" borderId="16" xfId="0" applyNumberFormat="1" applyFont="1" applyFill="1" applyBorder="1" applyAlignment="1">
      <alignment/>
    </xf>
    <xf numFmtId="0" fontId="0" fillId="0" borderId="0" xfId="0" applyNumberFormat="1" applyFont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0" fillId="33" borderId="38" xfId="0" applyFont="1" applyFill="1" applyBorder="1" applyAlignment="1">
      <alignment/>
    </xf>
    <xf numFmtId="0" fontId="0" fillId="33" borderId="46" xfId="0" applyFont="1" applyFill="1" applyBorder="1" applyAlignment="1">
      <alignment/>
    </xf>
    <xf numFmtId="0" fontId="0" fillId="33" borderId="47" xfId="0" applyFont="1" applyFill="1" applyBorder="1" applyAlignment="1">
      <alignment/>
    </xf>
    <xf numFmtId="172" fontId="0" fillId="8" borderId="14" xfId="0" applyNumberFormat="1" applyFont="1" applyFill="1" applyBorder="1" applyAlignment="1">
      <alignment horizontal="center"/>
    </xf>
    <xf numFmtId="39" fontId="0" fillId="8" borderId="14" xfId="0" applyNumberFormat="1" applyFont="1" applyFill="1" applyBorder="1" applyAlignment="1">
      <alignment horizontal="center"/>
    </xf>
    <xf numFmtId="39" fontId="0" fillId="0" borderId="0" xfId="0" applyNumberFormat="1" applyFont="1" applyAlignment="1">
      <alignment/>
    </xf>
    <xf numFmtId="39" fontId="0" fillId="0" borderId="32" xfId="0" applyNumberFormat="1" applyFont="1" applyBorder="1" applyAlignment="1">
      <alignment/>
    </xf>
    <xf numFmtId="0" fontId="0" fillId="8" borderId="14" xfId="0" applyFont="1" applyFill="1" applyBorder="1" applyAlignment="1">
      <alignment/>
    </xf>
    <xf numFmtId="40" fontId="0" fillId="8" borderId="14" xfId="0" applyNumberFormat="1" applyFont="1" applyFill="1" applyBorder="1" applyAlignment="1">
      <alignment/>
    </xf>
    <xf numFmtId="40" fontId="0" fillId="8" borderId="16" xfId="0" applyNumberFormat="1" applyFont="1" applyFill="1" applyBorder="1" applyAlignment="1">
      <alignment/>
    </xf>
    <xf numFmtId="40" fontId="0" fillId="0" borderId="45" xfId="0" applyNumberFormat="1" applyFont="1" applyBorder="1" applyAlignment="1">
      <alignment/>
    </xf>
    <xf numFmtId="0" fontId="0" fillId="0" borderId="13" xfId="0" applyFont="1" applyFill="1" applyBorder="1" applyAlignment="1">
      <alignment/>
    </xf>
    <xf numFmtId="173" fontId="0" fillId="33" borderId="15" xfId="60" applyFont="1" applyFill="1" applyBorder="1" applyAlignment="1">
      <alignment/>
    </xf>
    <xf numFmtId="173" fontId="0" fillId="8" borderId="15" xfId="60" applyFont="1" applyFill="1" applyBorder="1" applyAlignment="1">
      <alignment/>
    </xf>
    <xf numFmtId="173" fontId="0" fillId="0" borderId="32" xfId="60" applyFont="1" applyBorder="1" applyAlignment="1">
      <alignment/>
    </xf>
    <xf numFmtId="173" fontId="0" fillId="33" borderId="14" xfId="60" applyFont="1" applyFill="1" applyBorder="1" applyAlignment="1">
      <alignment/>
    </xf>
    <xf numFmtId="173" fontId="0" fillId="8" borderId="14" xfId="60" applyFont="1" applyFill="1" applyBorder="1" applyAlignment="1">
      <alignment/>
    </xf>
    <xf numFmtId="173" fontId="0" fillId="33" borderId="16" xfId="60" applyFont="1" applyFill="1" applyBorder="1" applyAlignment="1">
      <alignment/>
    </xf>
    <xf numFmtId="173" fontId="0" fillId="8" borderId="16" xfId="60" applyFont="1" applyFill="1" applyBorder="1" applyAlignment="1">
      <alignment/>
    </xf>
    <xf numFmtId="173" fontId="0" fillId="0" borderId="14" xfId="60" applyFont="1" applyBorder="1" applyAlignment="1">
      <alignment/>
    </xf>
    <xf numFmtId="173" fontId="0" fillId="0" borderId="15" xfId="60" applyFont="1" applyBorder="1" applyAlignment="1">
      <alignment/>
    </xf>
    <xf numFmtId="173" fontId="0" fillId="0" borderId="16" xfId="60" applyFont="1" applyBorder="1" applyAlignment="1">
      <alignment/>
    </xf>
    <xf numFmtId="0" fontId="0" fillId="0" borderId="23" xfId="0" applyFont="1" applyBorder="1" applyAlignment="1">
      <alignment/>
    </xf>
    <xf numFmtId="40" fontId="0" fillId="33" borderId="48" xfId="0" applyNumberFormat="1" applyFont="1" applyFill="1" applyBorder="1" applyAlignment="1">
      <alignment/>
    </xf>
    <xf numFmtId="40" fontId="0" fillId="0" borderId="48" xfId="0" applyNumberFormat="1" applyFont="1" applyBorder="1" applyAlignment="1">
      <alignment/>
    </xf>
    <xf numFmtId="176" fontId="1" fillId="33" borderId="40" xfId="0" applyNumberFormat="1" applyFont="1" applyFill="1" applyBorder="1" applyAlignment="1">
      <alignment/>
    </xf>
    <xf numFmtId="39" fontId="1" fillId="8" borderId="38" xfId="0" applyNumberFormat="1" applyFont="1" applyFill="1" applyBorder="1" applyAlignment="1">
      <alignment/>
    </xf>
    <xf numFmtId="39" fontId="1" fillId="8" borderId="46" xfId="0" applyNumberFormat="1" applyFont="1" applyFill="1" applyBorder="1" applyAlignment="1">
      <alignment/>
    </xf>
    <xf numFmtId="39" fontId="1" fillId="8" borderId="47" xfId="0" applyNumberFormat="1" applyFont="1" applyFill="1" applyBorder="1" applyAlignment="1">
      <alignment/>
    </xf>
    <xf numFmtId="172" fontId="3" fillId="33" borderId="14" xfId="0" applyNumberFormat="1" applyFont="1" applyFill="1" applyBorder="1" applyAlignment="1">
      <alignment horizontal="center"/>
    </xf>
    <xf numFmtId="172" fontId="3" fillId="8" borderId="14" xfId="0" applyNumberFormat="1" applyFont="1" applyFill="1" applyBorder="1" applyAlignment="1">
      <alignment horizontal="center"/>
    </xf>
    <xf numFmtId="0" fontId="0" fillId="0" borderId="49" xfId="0" applyFont="1" applyBorder="1" applyAlignment="1">
      <alignment/>
    </xf>
    <xf numFmtId="40" fontId="0" fillId="0" borderId="50" xfId="0" applyNumberFormat="1" applyFont="1" applyBorder="1" applyAlignment="1">
      <alignment/>
    </xf>
    <xf numFmtId="40" fontId="1" fillId="0" borderId="51" xfId="0" applyNumberFormat="1" applyFont="1" applyBorder="1" applyAlignment="1">
      <alignment/>
    </xf>
    <xf numFmtId="0" fontId="1" fillId="0" borderId="49" xfId="0" applyFont="1" applyBorder="1" applyAlignment="1">
      <alignment/>
    </xf>
    <xf numFmtId="172" fontId="5" fillId="0" borderId="45" xfId="0" applyNumberFormat="1" applyFont="1" applyFill="1" applyBorder="1" applyAlignment="1">
      <alignment horizontal="center"/>
    </xf>
    <xf numFmtId="10" fontId="0" fillId="0" borderId="52" xfId="49" applyNumberFormat="1" applyFont="1" applyFill="1" applyBorder="1" applyAlignment="1" applyProtection="1">
      <alignment/>
      <protection/>
    </xf>
    <xf numFmtId="10" fontId="0" fillId="0" borderId="45" xfId="49" applyNumberFormat="1" applyFont="1" applyFill="1" applyBorder="1" applyAlignment="1" applyProtection="1">
      <alignment/>
      <protection/>
    </xf>
    <xf numFmtId="10" fontId="1" fillId="0" borderId="53" xfId="0" applyNumberFormat="1" applyFont="1" applyBorder="1" applyAlignment="1">
      <alignment/>
    </xf>
    <xf numFmtId="0" fontId="0" fillId="0" borderId="54" xfId="0" applyFont="1" applyBorder="1" applyAlignment="1">
      <alignment/>
    </xf>
    <xf numFmtId="0" fontId="0" fillId="0" borderId="52" xfId="0" applyFont="1" applyBorder="1" applyAlignment="1">
      <alignment/>
    </xf>
    <xf numFmtId="40" fontId="0" fillId="8" borderId="0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3" fontId="0" fillId="34" borderId="0" xfId="0" applyNumberFormat="1" applyFont="1" applyFill="1" applyAlignment="1">
      <alignment/>
    </xf>
    <xf numFmtId="177" fontId="0" fillId="0" borderId="0" xfId="0" applyNumberFormat="1" applyAlignment="1">
      <alignment/>
    </xf>
    <xf numFmtId="0" fontId="3" fillId="33" borderId="55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178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3" fontId="9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56" xfId="0" applyFont="1" applyBorder="1" applyAlignment="1">
      <alignment/>
    </xf>
    <xf numFmtId="0" fontId="0" fillId="8" borderId="57" xfId="0" applyFont="1" applyFill="1" applyBorder="1" applyAlignment="1">
      <alignment/>
    </xf>
    <xf numFmtId="172" fontId="5" fillId="8" borderId="57" xfId="0" applyNumberFormat="1" applyFont="1" applyFill="1" applyBorder="1" applyAlignment="1">
      <alignment horizontal="center"/>
    </xf>
    <xf numFmtId="172" fontId="0" fillId="8" borderId="57" xfId="0" applyNumberFormat="1" applyFont="1" applyFill="1" applyBorder="1" applyAlignment="1">
      <alignment horizontal="center"/>
    </xf>
    <xf numFmtId="39" fontId="1" fillId="8" borderId="58" xfId="0" applyNumberFormat="1" applyFont="1" applyFill="1" applyBorder="1" applyAlignment="1">
      <alignment/>
    </xf>
    <xf numFmtId="40" fontId="0" fillId="8" borderId="57" xfId="0" applyNumberFormat="1" applyFont="1" applyFill="1" applyBorder="1" applyAlignment="1">
      <alignment/>
    </xf>
    <xf numFmtId="173" fontId="0" fillId="8" borderId="59" xfId="60" applyFont="1" applyFill="1" applyBorder="1" applyAlignment="1" applyProtection="1">
      <alignment/>
      <protection/>
    </xf>
    <xf numFmtId="173" fontId="0" fillId="8" borderId="57" xfId="60" applyFont="1" applyFill="1" applyBorder="1" applyAlignment="1" applyProtection="1">
      <alignment/>
      <protection/>
    </xf>
    <xf numFmtId="173" fontId="0" fillId="8" borderId="47" xfId="60" applyFont="1" applyFill="1" applyBorder="1" applyAlignment="1" applyProtection="1">
      <alignment/>
      <protection/>
    </xf>
    <xf numFmtId="40" fontId="0" fillId="8" borderId="60" xfId="0" applyNumberFormat="1" applyFont="1" applyFill="1" applyBorder="1" applyAlignment="1">
      <alignment/>
    </xf>
    <xf numFmtId="40" fontId="1" fillId="8" borderId="61" xfId="0" applyNumberFormat="1" applyFont="1" applyFill="1" applyBorder="1" applyAlignment="1">
      <alignment/>
    </xf>
    <xf numFmtId="0" fontId="0" fillId="0" borderId="57" xfId="0" applyFont="1" applyBorder="1" applyAlignment="1">
      <alignment/>
    </xf>
    <xf numFmtId="40" fontId="1" fillId="0" borderId="62" xfId="0" applyNumberFormat="1" applyFont="1" applyBorder="1" applyAlignment="1">
      <alignment/>
    </xf>
    <xf numFmtId="0" fontId="16" fillId="0" borderId="63" xfId="0" applyFont="1" applyBorder="1" applyAlignment="1">
      <alignment/>
    </xf>
    <xf numFmtId="0" fontId="16" fillId="0" borderId="55" xfId="0" applyFont="1" applyBorder="1" applyAlignment="1">
      <alignment/>
    </xf>
    <xf numFmtId="0" fontId="16" fillId="0" borderId="56" xfId="0" applyFont="1" applyBorder="1" applyAlignment="1">
      <alignment/>
    </xf>
    <xf numFmtId="0" fontId="17" fillId="0" borderId="35" xfId="0" applyFont="1" applyBorder="1" applyAlignment="1">
      <alignment/>
    </xf>
    <xf numFmtId="0" fontId="18" fillId="33" borderId="64" xfId="0" applyFont="1" applyFill="1" applyBorder="1" applyAlignment="1">
      <alignment horizontal="center"/>
    </xf>
    <xf numFmtId="0" fontId="20" fillId="0" borderId="34" xfId="0" applyFont="1" applyBorder="1" applyAlignment="1">
      <alignment/>
    </xf>
    <xf numFmtId="172" fontId="21" fillId="33" borderId="14" xfId="0" applyNumberFormat="1" applyFont="1" applyFill="1" applyBorder="1" applyAlignment="1">
      <alignment horizontal="center"/>
    </xf>
    <xf numFmtId="0" fontId="21" fillId="0" borderId="34" xfId="0" applyFont="1" applyBorder="1" applyAlignment="1">
      <alignment/>
    </xf>
    <xf numFmtId="172" fontId="22" fillId="33" borderId="14" xfId="0" applyNumberFormat="1" applyFont="1" applyFill="1" applyBorder="1" applyAlignment="1">
      <alignment horizontal="center"/>
    </xf>
    <xf numFmtId="0" fontId="21" fillId="0" borderId="65" xfId="0" applyFont="1" applyBorder="1" applyAlignment="1">
      <alignment horizontal="right"/>
    </xf>
    <xf numFmtId="39" fontId="21" fillId="33" borderId="66" xfId="0" applyNumberFormat="1" applyFont="1" applyFill="1" applyBorder="1" applyAlignment="1">
      <alignment/>
    </xf>
    <xf numFmtId="39" fontId="21" fillId="33" borderId="67" xfId="0" applyNumberFormat="1" applyFont="1" applyFill="1" applyBorder="1" applyAlignment="1">
      <alignment/>
    </xf>
    <xf numFmtId="0" fontId="22" fillId="0" borderId="34" xfId="0" applyFont="1" applyBorder="1" applyAlignment="1">
      <alignment/>
    </xf>
    <xf numFmtId="0" fontId="22" fillId="33" borderId="14" xfId="0" applyFont="1" applyFill="1" applyBorder="1" applyAlignment="1">
      <alignment/>
    </xf>
    <xf numFmtId="40" fontId="22" fillId="33" borderId="14" xfId="0" applyNumberFormat="1" applyFont="1" applyFill="1" applyBorder="1" applyAlignment="1">
      <alignment/>
    </xf>
    <xf numFmtId="173" fontId="22" fillId="33" borderId="16" xfId="60" applyFont="1" applyFill="1" applyBorder="1" applyAlignment="1" applyProtection="1">
      <alignment/>
      <protection/>
    </xf>
    <xf numFmtId="0" fontId="22" fillId="0" borderId="68" xfId="0" applyFont="1" applyBorder="1" applyAlignment="1">
      <alignment/>
    </xf>
    <xf numFmtId="40" fontId="22" fillId="33" borderId="16" xfId="0" applyNumberFormat="1" applyFont="1" applyFill="1" applyBorder="1" applyAlignment="1">
      <alignment/>
    </xf>
    <xf numFmtId="0" fontId="21" fillId="0" borderId="65" xfId="0" applyFont="1" applyBorder="1" applyAlignment="1">
      <alignment/>
    </xf>
    <xf numFmtId="40" fontId="21" fillId="33" borderId="16" xfId="0" applyNumberFormat="1" applyFont="1" applyFill="1" applyBorder="1" applyAlignment="1">
      <alignment/>
    </xf>
    <xf numFmtId="0" fontId="22" fillId="33" borderId="0" xfId="0" applyFont="1" applyFill="1" applyBorder="1" applyAlignment="1">
      <alignment/>
    </xf>
    <xf numFmtId="0" fontId="22" fillId="0" borderId="68" xfId="0" applyFont="1" applyFill="1" applyBorder="1" applyAlignment="1">
      <alignment/>
    </xf>
    <xf numFmtId="173" fontId="21" fillId="33" borderId="16" xfId="0" applyNumberFormat="1" applyFont="1" applyFill="1" applyBorder="1" applyAlignment="1">
      <alignment/>
    </xf>
    <xf numFmtId="0" fontId="21" fillId="0" borderId="69" xfId="0" applyFont="1" applyBorder="1" applyAlignment="1">
      <alignment horizontal="right"/>
    </xf>
    <xf numFmtId="40" fontId="21" fillId="33" borderId="70" xfId="0" applyNumberFormat="1" applyFont="1" applyFill="1" applyBorder="1" applyAlignment="1">
      <alignment/>
    </xf>
    <xf numFmtId="40" fontId="21" fillId="33" borderId="71" xfId="0" applyNumberFormat="1" applyFont="1" applyFill="1" applyBorder="1" applyAlignment="1">
      <alignment/>
    </xf>
    <xf numFmtId="0" fontId="3" fillId="33" borderId="33" xfId="0" applyFont="1" applyFill="1" applyBorder="1" applyAlignment="1">
      <alignment horizontal="center"/>
    </xf>
    <xf numFmtId="0" fontId="3" fillId="33" borderId="55" xfId="0" applyFont="1" applyFill="1" applyBorder="1" applyAlignment="1">
      <alignment horizontal="center"/>
    </xf>
    <xf numFmtId="0" fontId="3" fillId="33" borderId="56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57" xfId="0" applyFont="1" applyFill="1" applyBorder="1" applyAlignment="1">
      <alignment horizontal="center"/>
    </xf>
    <xf numFmtId="39" fontId="3" fillId="8" borderId="33" xfId="0" applyNumberFormat="1" applyFont="1" applyFill="1" applyBorder="1" applyAlignment="1">
      <alignment horizontal="center"/>
    </xf>
    <xf numFmtId="39" fontId="3" fillId="8" borderId="55" xfId="0" applyNumberFormat="1" applyFont="1" applyFill="1" applyBorder="1" applyAlignment="1">
      <alignment horizontal="center"/>
    </xf>
    <xf numFmtId="39" fontId="3" fillId="8" borderId="56" xfId="0" applyNumberFormat="1" applyFont="1" applyFill="1" applyBorder="1" applyAlignment="1">
      <alignment horizontal="center"/>
    </xf>
    <xf numFmtId="39" fontId="3" fillId="8" borderId="34" xfId="0" applyNumberFormat="1" applyFont="1" applyFill="1" applyBorder="1" applyAlignment="1">
      <alignment horizontal="center"/>
    </xf>
    <xf numFmtId="39" fontId="3" fillId="8" borderId="0" xfId="0" applyNumberFormat="1" applyFont="1" applyFill="1" applyBorder="1" applyAlignment="1">
      <alignment horizontal="center"/>
    </xf>
    <xf numFmtId="39" fontId="3" fillId="8" borderId="57" xfId="0" applyNumberFormat="1" applyFont="1" applyFill="1" applyBorder="1" applyAlignment="1">
      <alignment horizontal="center"/>
    </xf>
    <xf numFmtId="0" fontId="0" fillId="0" borderId="72" xfId="0" applyFont="1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3" xfId="0" applyFont="1" applyBorder="1" applyAlignment="1">
      <alignment horizontal="center"/>
    </xf>
    <xf numFmtId="0" fontId="18" fillId="33" borderId="74" xfId="0" applyFont="1" applyFill="1" applyBorder="1" applyAlignment="1">
      <alignment horizontal="center"/>
    </xf>
    <xf numFmtId="0" fontId="18" fillId="33" borderId="64" xfId="0" applyFont="1" applyFill="1" applyBorder="1" applyAlignment="1">
      <alignment horizontal="center"/>
    </xf>
    <xf numFmtId="0" fontId="18" fillId="33" borderId="58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9" fillId="0" borderId="74" xfId="0" applyFont="1" applyFill="1" applyBorder="1" applyAlignment="1">
      <alignment horizontal="center"/>
    </xf>
    <xf numFmtId="0" fontId="19" fillId="0" borderId="64" xfId="0" applyFont="1" applyFill="1" applyBorder="1" applyAlignment="1">
      <alignment horizontal="center"/>
    </xf>
    <xf numFmtId="0" fontId="19" fillId="0" borderId="58" xfId="0" applyFont="1" applyFill="1" applyBorder="1" applyAlignment="1">
      <alignment horizontal="center"/>
    </xf>
    <xf numFmtId="172" fontId="21" fillId="0" borderId="14" xfId="0" applyNumberFormat="1" applyFont="1" applyFill="1" applyBorder="1" applyAlignment="1">
      <alignment horizontal="center"/>
    </xf>
    <xf numFmtId="172" fontId="21" fillId="0" borderId="13" xfId="0" applyNumberFormat="1" applyFont="1" applyFill="1" applyBorder="1" applyAlignment="1">
      <alignment horizontal="center"/>
    </xf>
    <xf numFmtId="172" fontId="21" fillId="0" borderId="75" xfId="0" applyNumberFormat="1" applyFont="1" applyFill="1" applyBorder="1" applyAlignment="1">
      <alignment horizontal="center"/>
    </xf>
    <xf numFmtId="172" fontId="22" fillId="0" borderId="14" xfId="0" applyNumberFormat="1" applyFont="1" applyFill="1" applyBorder="1" applyAlignment="1">
      <alignment horizontal="center"/>
    </xf>
    <xf numFmtId="172" fontId="22" fillId="0" borderId="13" xfId="0" applyNumberFormat="1" applyFont="1" applyFill="1" applyBorder="1" applyAlignment="1">
      <alignment horizontal="center"/>
    </xf>
    <xf numFmtId="172" fontId="22" fillId="0" borderId="75" xfId="0" applyNumberFormat="1" applyFont="1" applyFill="1" applyBorder="1" applyAlignment="1">
      <alignment horizontal="center"/>
    </xf>
    <xf numFmtId="39" fontId="21" fillId="0" borderId="67" xfId="0" applyNumberFormat="1" applyFont="1" applyFill="1" applyBorder="1" applyAlignment="1">
      <alignment/>
    </xf>
    <xf numFmtId="39" fontId="21" fillId="0" borderId="76" xfId="0" applyNumberFormat="1" applyFont="1" applyFill="1" applyBorder="1" applyAlignment="1">
      <alignment/>
    </xf>
    <xf numFmtId="39" fontId="21" fillId="0" borderId="77" xfId="0" applyNumberFormat="1" applyFont="1" applyFill="1" applyBorder="1" applyAlignment="1">
      <alignment/>
    </xf>
    <xf numFmtId="0" fontId="22" fillId="0" borderId="14" xfId="0" applyFont="1" applyFill="1" applyBorder="1" applyAlignment="1">
      <alignment/>
    </xf>
    <xf numFmtId="0" fontId="22" fillId="0" borderId="13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57" xfId="0" applyFont="1" applyFill="1" applyBorder="1" applyAlignment="1">
      <alignment/>
    </xf>
    <xf numFmtId="40" fontId="22" fillId="0" borderId="14" xfId="0" applyNumberFormat="1" applyFont="1" applyFill="1" applyBorder="1" applyAlignment="1">
      <alignment/>
    </xf>
    <xf numFmtId="40" fontId="22" fillId="0" borderId="13" xfId="0" applyNumberFormat="1" applyFont="1" applyFill="1" applyBorder="1" applyAlignment="1">
      <alignment/>
    </xf>
    <xf numFmtId="40" fontId="22" fillId="0" borderId="0" xfId="0" applyNumberFormat="1" applyFont="1" applyFill="1" applyBorder="1" applyAlignment="1">
      <alignment/>
    </xf>
    <xf numFmtId="40" fontId="22" fillId="0" borderId="57" xfId="0" applyNumberFormat="1" applyFont="1" applyFill="1" applyBorder="1" applyAlignment="1">
      <alignment/>
    </xf>
    <xf numFmtId="173" fontId="22" fillId="0" borderId="16" xfId="60" applyFont="1" applyFill="1" applyBorder="1" applyAlignment="1" applyProtection="1">
      <alignment/>
      <protection/>
    </xf>
    <xf numFmtId="173" fontId="22" fillId="0" borderId="78" xfId="60" applyFont="1" applyFill="1" applyBorder="1" applyAlignment="1" applyProtection="1">
      <alignment/>
      <protection/>
    </xf>
    <xf numFmtId="40" fontId="22" fillId="0" borderId="16" xfId="0" applyNumberFormat="1" applyFont="1" applyFill="1" applyBorder="1" applyAlignment="1">
      <alignment/>
    </xf>
    <xf numFmtId="40" fontId="22" fillId="0" borderId="10" xfId="0" applyNumberFormat="1" applyFont="1" applyFill="1" applyBorder="1" applyAlignment="1">
      <alignment/>
    </xf>
    <xf numFmtId="40" fontId="22" fillId="0" borderId="78" xfId="0" applyNumberFormat="1" applyFont="1" applyFill="1" applyBorder="1" applyAlignment="1">
      <alignment/>
    </xf>
    <xf numFmtId="40" fontId="21" fillId="0" borderId="16" xfId="0" applyNumberFormat="1" applyFont="1" applyFill="1" applyBorder="1" applyAlignment="1">
      <alignment/>
    </xf>
    <xf numFmtId="40" fontId="21" fillId="0" borderId="78" xfId="0" applyNumberFormat="1" applyFont="1" applyFill="1" applyBorder="1" applyAlignment="1">
      <alignment/>
    </xf>
    <xf numFmtId="40" fontId="22" fillId="0" borderId="75" xfId="0" applyNumberFormat="1" applyFont="1" applyFill="1" applyBorder="1" applyAlignment="1">
      <alignment/>
    </xf>
    <xf numFmtId="173" fontId="21" fillId="0" borderId="16" xfId="0" applyNumberFormat="1" applyFont="1" applyFill="1" applyBorder="1" applyAlignment="1">
      <alignment/>
    </xf>
    <xf numFmtId="40" fontId="21" fillId="0" borderId="10" xfId="0" applyNumberFormat="1" applyFont="1" applyFill="1" applyBorder="1" applyAlignment="1">
      <alignment/>
    </xf>
    <xf numFmtId="40" fontId="21" fillId="0" borderId="71" xfId="0" applyNumberFormat="1" applyFont="1" applyFill="1" applyBorder="1" applyAlignment="1">
      <alignment/>
    </xf>
    <xf numFmtId="40" fontId="21" fillId="0" borderId="62" xfId="0" applyNumberFormat="1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1</xdr:row>
      <xdr:rowOff>9525</xdr:rowOff>
    </xdr:from>
    <xdr:to>
      <xdr:col>8</xdr:col>
      <xdr:colOff>180975</xdr:colOff>
      <xdr:row>3</xdr:row>
      <xdr:rowOff>133350</xdr:rowOff>
    </xdr:to>
    <xdr:pic>
      <xdr:nvPicPr>
        <xdr:cNvPr id="1" name="Imagem 1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171450"/>
          <a:ext cx="345757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"/>
  <sheetViews>
    <sheetView zoomScale="85" zoomScaleNormal="85" zoomScalePageLayoutView="0" workbookViewId="0" topLeftCell="A2">
      <pane xSplit="1" ySplit="10" topLeftCell="B12" activePane="bottomRight" state="frozen"/>
      <selection pane="topLeft" activeCell="A2" sqref="A2"/>
      <selection pane="topRight" activeCell="B2" sqref="B2"/>
      <selection pane="bottomLeft" activeCell="A12" sqref="A12"/>
      <selection pane="bottomRight" activeCell="E14" sqref="E14"/>
    </sheetView>
  </sheetViews>
  <sheetFormatPr defaultColWidth="9.140625" defaultRowHeight="12.75"/>
  <cols>
    <col min="1" max="1" width="42.140625" style="60" bestFit="1" customWidth="1"/>
    <col min="2" max="6" width="12.28125" style="60" customWidth="1"/>
    <col min="7" max="8" width="12.7109375" style="60" customWidth="1"/>
    <col min="9" max="12" width="12.28125" style="60" customWidth="1"/>
    <col min="13" max="14" width="12.7109375" style="60" customWidth="1"/>
    <col min="15" max="15" width="10.8515625" style="60" hidden="1" customWidth="1"/>
    <col min="16" max="16" width="11.28125" style="60" hidden="1" customWidth="1"/>
    <col min="17" max="17" width="20.8515625" style="60" hidden="1" customWidth="1"/>
    <col min="18" max="18" width="12.28125" style="60" bestFit="1" customWidth="1"/>
    <col min="19" max="16384" width="9.140625" style="60" customWidth="1"/>
  </cols>
  <sheetData>
    <row r="1" ht="13.5" thickBot="1">
      <c r="B1" s="103">
        <f>+B13/2500</f>
        <v>0</v>
      </c>
    </row>
    <row r="2" spans="1:20" ht="12.75">
      <c r="A2" s="1" t="s">
        <v>0</v>
      </c>
      <c r="B2" s="104"/>
      <c r="C2" s="104"/>
      <c r="D2" s="104">
        <v>4550</v>
      </c>
      <c r="E2" s="104"/>
      <c r="F2" s="104">
        <f>+D2</f>
        <v>4550</v>
      </c>
      <c r="G2" s="104">
        <f>+F2+56</f>
        <v>4606</v>
      </c>
      <c r="H2" s="104">
        <f aca="true" t="shared" si="0" ref="H2:M2">+G2+56</f>
        <v>4662</v>
      </c>
      <c r="I2" s="104">
        <f t="shared" si="0"/>
        <v>4718</v>
      </c>
      <c r="J2" s="104">
        <f t="shared" si="0"/>
        <v>4774</v>
      </c>
      <c r="K2" s="104">
        <f t="shared" si="0"/>
        <v>4830</v>
      </c>
      <c r="L2" s="104">
        <f t="shared" si="0"/>
        <v>4886</v>
      </c>
      <c r="M2" s="104">
        <f t="shared" si="0"/>
        <v>4942</v>
      </c>
      <c r="N2" s="104">
        <f>+M2+56+2</f>
        <v>5000</v>
      </c>
      <c r="R2" s="105"/>
      <c r="T2" s="60">
        <f>5000-4550</f>
        <v>450</v>
      </c>
    </row>
    <row r="3" spans="1:20" ht="12.75">
      <c r="A3" s="2" t="s">
        <v>1</v>
      </c>
      <c r="B3" s="106"/>
      <c r="C3" s="59"/>
      <c r="D3" s="59"/>
      <c r="E3" s="59"/>
      <c r="F3" s="59"/>
      <c r="G3" s="59"/>
      <c r="H3" s="59"/>
      <c r="I3" s="106"/>
      <c r="J3" s="106"/>
      <c r="K3" s="106"/>
      <c r="L3" s="106"/>
      <c r="M3" s="106"/>
      <c r="N3" s="107"/>
      <c r="R3" s="108"/>
      <c r="T3" s="60">
        <f>+T2/8</f>
        <v>56.25</v>
      </c>
    </row>
    <row r="4" spans="1:18" ht="13.5" thickBot="1">
      <c r="A4" s="2" t="s">
        <v>2</v>
      </c>
      <c r="B4" s="106"/>
      <c r="C4" s="106"/>
      <c r="D4" s="106"/>
      <c r="E4" s="106"/>
      <c r="F4" s="106"/>
      <c r="G4" s="106"/>
      <c r="H4" s="107"/>
      <c r="I4" s="106"/>
      <c r="J4" s="106"/>
      <c r="K4" s="106"/>
      <c r="L4" s="106"/>
      <c r="M4" s="106"/>
      <c r="N4" s="107"/>
      <c r="R4" s="108"/>
    </row>
    <row r="5" spans="1:18" ht="12.75">
      <c r="A5" s="2" t="s">
        <v>46</v>
      </c>
      <c r="B5" s="199" t="s">
        <v>112</v>
      </c>
      <c r="C5" s="200"/>
      <c r="D5" s="201"/>
      <c r="E5" s="154"/>
      <c r="F5" s="205" t="s">
        <v>106</v>
      </c>
      <c r="G5" s="206"/>
      <c r="H5" s="206"/>
      <c r="I5" s="206"/>
      <c r="J5" s="206"/>
      <c r="K5" s="206"/>
      <c r="L5" s="206"/>
      <c r="M5" s="206"/>
      <c r="N5" s="207"/>
      <c r="R5" s="108"/>
    </row>
    <row r="6" spans="1:18" ht="12.75">
      <c r="A6" s="8" t="s">
        <v>47</v>
      </c>
      <c r="B6" s="202"/>
      <c r="C6" s="203"/>
      <c r="D6" s="204"/>
      <c r="E6" s="155"/>
      <c r="F6" s="208"/>
      <c r="G6" s="209"/>
      <c r="H6" s="209"/>
      <c r="I6" s="209"/>
      <c r="J6" s="209"/>
      <c r="K6" s="209"/>
      <c r="L6" s="209"/>
      <c r="M6" s="209"/>
      <c r="N6" s="210"/>
      <c r="R6" s="108"/>
    </row>
    <row r="7" spans="1:18" ht="15.75" thickBot="1">
      <c r="A7" s="4" t="s">
        <v>57</v>
      </c>
      <c r="B7" s="109"/>
      <c r="C7" s="110"/>
      <c r="D7" s="111"/>
      <c r="E7" s="110"/>
      <c r="F7" s="135"/>
      <c r="G7" s="136"/>
      <c r="H7" s="136"/>
      <c r="I7" s="136"/>
      <c r="J7" s="136"/>
      <c r="K7" s="136"/>
      <c r="L7" s="136"/>
      <c r="M7" s="136"/>
      <c r="N7" s="137"/>
      <c r="R7" s="108"/>
    </row>
    <row r="8" spans="1:18" ht="13.5" thickBot="1">
      <c r="A8" s="6" t="s">
        <v>3</v>
      </c>
      <c r="B8" s="138" t="s">
        <v>4</v>
      </c>
      <c r="C8" s="138" t="s">
        <v>5</v>
      </c>
      <c r="D8" s="138" t="s">
        <v>6</v>
      </c>
      <c r="E8" s="138"/>
      <c r="F8" s="139" t="s">
        <v>7</v>
      </c>
      <c r="G8" s="139" t="s">
        <v>8</v>
      </c>
      <c r="H8" s="139" t="s">
        <v>9</v>
      </c>
      <c r="I8" s="139" t="s">
        <v>10</v>
      </c>
      <c r="J8" s="139" t="s">
        <v>11</v>
      </c>
      <c r="K8" s="139" t="s">
        <v>12</v>
      </c>
      <c r="L8" s="139" t="s">
        <v>13</v>
      </c>
      <c r="M8" s="139" t="s">
        <v>14</v>
      </c>
      <c r="N8" s="139" t="s">
        <v>15</v>
      </c>
      <c r="R8" s="72" t="s">
        <v>33</v>
      </c>
    </row>
    <row r="9" spans="1:18" ht="19.5" customHeight="1" thickBot="1">
      <c r="A9" s="8"/>
      <c r="B9" s="99"/>
      <c r="C9" s="99"/>
      <c r="D9" s="99"/>
      <c r="E9" s="99"/>
      <c r="F9" s="112"/>
      <c r="G9" s="112"/>
      <c r="H9" s="112"/>
      <c r="I9" s="112"/>
      <c r="J9" s="113"/>
      <c r="K9" s="113"/>
      <c r="L9" s="113"/>
      <c r="M9" s="113"/>
      <c r="N9" s="113"/>
      <c r="O9" s="114"/>
      <c r="R9" s="108"/>
    </row>
    <row r="10" spans="1:18" ht="13.5" thickBot="1">
      <c r="A10" s="10" t="s">
        <v>16</v>
      </c>
      <c r="B10" s="134">
        <f>79290.03+16789.56</f>
        <v>96079.59</v>
      </c>
      <c r="C10" s="96">
        <f aca="true" t="shared" si="1" ref="C10:M10">+B50</f>
        <v>79641.65</v>
      </c>
      <c r="D10" s="96">
        <f t="shared" si="1"/>
        <v>66356.81</v>
      </c>
      <c r="E10" s="96"/>
      <c r="F10" s="95">
        <f>+D50</f>
        <v>52255.74</v>
      </c>
      <c r="G10" s="95">
        <f t="shared" si="1"/>
        <v>186787.71</v>
      </c>
      <c r="H10" s="95">
        <f t="shared" si="1"/>
        <v>168608.32</v>
      </c>
      <c r="I10" s="95">
        <f t="shared" si="1"/>
        <v>148760.93</v>
      </c>
      <c r="J10" s="95">
        <f t="shared" si="1"/>
        <v>132745.53999999998</v>
      </c>
      <c r="K10" s="95">
        <f t="shared" si="1"/>
        <v>116562.14999999998</v>
      </c>
      <c r="L10" s="95">
        <f t="shared" si="1"/>
        <v>100210.75999999998</v>
      </c>
      <c r="M10" s="95">
        <f t="shared" si="1"/>
        <v>79691.36999999998</v>
      </c>
      <c r="N10" s="95">
        <f>+M50</f>
        <v>60503.97999999998</v>
      </c>
      <c r="O10" s="88">
        <f>+B10</f>
        <v>96079.59</v>
      </c>
      <c r="P10" s="93">
        <f>+N50</f>
        <v>31642.589999999982</v>
      </c>
      <c r="R10" s="115">
        <f>+B10</f>
        <v>96079.59</v>
      </c>
    </row>
    <row r="11" spans="1:18" ht="1.5" customHeight="1">
      <c r="A11" s="54"/>
      <c r="B11" s="100"/>
      <c r="C11" s="100"/>
      <c r="D11" s="100"/>
      <c r="E11" s="100"/>
      <c r="F11" s="116"/>
      <c r="G11" s="116"/>
      <c r="H11" s="116"/>
      <c r="I11" s="116"/>
      <c r="J11" s="116"/>
      <c r="K11" s="116"/>
      <c r="L11" s="116"/>
      <c r="M11" s="116"/>
      <c r="N11" s="116"/>
      <c r="R11" s="108"/>
    </row>
    <row r="12" spans="1:18" ht="12.75">
      <c r="A12" s="8" t="s">
        <v>17</v>
      </c>
      <c r="B12" s="101"/>
      <c r="C12" s="101"/>
      <c r="D12" s="101"/>
      <c r="E12" s="101"/>
      <c r="F12" s="117"/>
      <c r="G12" s="117"/>
      <c r="H12" s="117"/>
      <c r="I12" s="117"/>
      <c r="J12" s="117"/>
      <c r="K12" s="117"/>
      <c r="L12" s="117"/>
      <c r="M12" s="117"/>
      <c r="N12" s="117"/>
      <c r="P12" s="93">
        <f>+P10</f>
        <v>31642.589999999982</v>
      </c>
      <c r="R12" s="108"/>
    </row>
    <row r="13" spans="1:18" ht="12.75">
      <c r="A13" s="54" t="s">
        <v>18</v>
      </c>
      <c r="B13" s="102"/>
      <c r="C13" s="102"/>
      <c r="D13" s="102"/>
      <c r="E13" s="102"/>
      <c r="F13" s="118"/>
      <c r="G13" s="118">
        <v>2500</v>
      </c>
      <c r="H13" s="118"/>
      <c r="I13" s="118"/>
      <c r="J13" s="118"/>
      <c r="K13" s="118"/>
      <c r="L13" s="118"/>
      <c r="M13" s="118">
        <v>2500</v>
      </c>
      <c r="N13" s="118"/>
      <c r="O13" s="88">
        <f>SUM(B13:N13)</f>
        <v>5000</v>
      </c>
      <c r="P13" s="93">
        <f>+P12</f>
        <v>31642.589999999982</v>
      </c>
      <c r="R13" s="119">
        <f>SUM(B13:N13)</f>
        <v>5000</v>
      </c>
    </row>
    <row r="14" spans="1:19" ht="12.75">
      <c r="A14" s="54" t="s">
        <v>19</v>
      </c>
      <c r="B14" s="102">
        <v>13316</v>
      </c>
      <c r="C14" s="102">
        <v>13558.76</v>
      </c>
      <c r="D14" s="102">
        <v>13641.68</v>
      </c>
      <c r="E14" s="102"/>
      <c r="F14" s="118">
        <v>13641.68</v>
      </c>
      <c r="G14" s="118">
        <f>+G56*3</f>
        <v>13818</v>
      </c>
      <c r="H14" s="118">
        <f aca="true" t="shared" si="2" ref="H14:N14">+H56*3</f>
        <v>13986</v>
      </c>
      <c r="I14" s="118">
        <f t="shared" si="2"/>
        <v>14154</v>
      </c>
      <c r="J14" s="118">
        <f t="shared" si="2"/>
        <v>14322</v>
      </c>
      <c r="K14" s="118">
        <f t="shared" si="2"/>
        <v>14490</v>
      </c>
      <c r="L14" s="118">
        <f t="shared" si="2"/>
        <v>14658</v>
      </c>
      <c r="M14" s="118">
        <f t="shared" si="2"/>
        <v>14826</v>
      </c>
      <c r="N14" s="118">
        <f t="shared" si="2"/>
        <v>15000</v>
      </c>
      <c r="O14" s="88">
        <f aca="true" t="shared" si="3" ref="O14:O36">SUM(B14:N14)</f>
        <v>169412.12</v>
      </c>
      <c r="P14" s="93">
        <f aca="true" t="shared" si="4" ref="P14:P50">+P13</f>
        <v>31642.589999999982</v>
      </c>
      <c r="R14" s="119">
        <f aca="true" t="shared" si="5" ref="R14:R36">SUM(B14:N14)</f>
        <v>169412.12</v>
      </c>
      <c r="S14" s="61"/>
    </row>
    <row r="15" spans="1:19" ht="12.75" hidden="1">
      <c r="A15" s="54" t="s">
        <v>64</v>
      </c>
      <c r="B15" s="102"/>
      <c r="C15" s="102"/>
      <c r="D15" s="102"/>
      <c r="E15" s="102"/>
      <c r="F15" s="118"/>
      <c r="G15" s="118"/>
      <c r="H15" s="118"/>
      <c r="I15" s="118"/>
      <c r="J15" s="118"/>
      <c r="K15" s="118"/>
      <c r="L15" s="118"/>
      <c r="M15" s="118"/>
      <c r="N15" s="118"/>
      <c r="O15" s="88"/>
      <c r="P15" s="93"/>
      <c r="R15" s="119">
        <f t="shared" si="5"/>
        <v>0</v>
      </c>
      <c r="S15" s="61"/>
    </row>
    <row r="16" spans="1:19" ht="12.75" hidden="1">
      <c r="A16" s="54" t="s">
        <v>65</v>
      </c>
      <c r="B16" s="102"/>
      <c r="C16" s="102"/>
      <c r="D16" s="102"/>
      <c r="E16" s="102"/>
      <c r="F16" s="118"/>
      <c r="G16" s="118"/>
      <c r="H16" s="118"/>
      <c r="I16" s="118"/>
      <c r="J16" s="118"/>
      <c r="K16" s="118"/>
      <c r="L16" s="118"/>
      <c r="M16" s="118"/>
      <c r="N16" s="118"/>
      <c r="O16" s="88"/>
      <c r="P16" s="93"/>
      <c r="R16" s="119">
        <f t="shared" si="5"/>
        <v>0</v>
      </c>
      <c r="S16" s="61"/>
    </row>
    <row r="17" spans="1:19" ht="12.75">
      <c r="A17" s="54" t="s">
        <v>42</v>
      </c>
      <c r="B17" s="102">
        <f>126.48+249.19+142.51+252.5+115.89</f>
        <v>886.57</v>
      </c>
      <c r="C17" s="102">
        <f>113.83+115.88+142.51+249.19+252.5+324.98+630</f>
        <v>1828.8899999999999</v>
      </c>
      <c r="D17" s="102">
        <f>276.87+126.48+115.88+162.41</f>
        <v>681.64</v>
      </c>
      <c r="E17" s="102"/>
      <c r="F17" s="118">
        <f>113.83+115.88+142.51+249.19+324.98+315+315+324.98+324.98</f>
        <v>2226.35</v>
      </c>
      <c r="G17" s="118">
        <f>113.83+115.88+142.51+249.19+324.98+315</f>
        <v>1261.3899999999999</v>
      </c>
      <c r="H17" s="118">
        <f aca="true" t="shared" si="6" ref="H17:N17">113.83+115.88+142.51+249.19+324.98+315</f>
        <v>1261.3899999999999</v>
      </c>
      <c r="I17" s="118">
        <f t="shared" si="6"/>
        <v>1261.3899999999999</v>
      </c>
      <c r="J17" s="118">
        <f t="shared" si="6"/>
        <v>1261.3899999999999</v>
      </c>
      <c r="K17" s="118">
        <f t="shared" si="6"/>
        <v>1261.3899999999999</v>
      </c>
      <c r="L17" s="118">
        <f t="shared" si="6"/>
        <v>1261.3899999999999</v>
      </c>
      <c r="M17" s="118">
        <f t="shared" si="6"/>
        <v>1261.3899999999999</v>
      </c>
      <c r="N17" s="118">
        <f t="shared" si="6"/>
        <v>1261.3899999999999</v>
      </c>
      <c r="O17" s="88">
        <f t="shared" si="3"/>
        <v>15714.569999999996</v>
      </c>
      <c r="P17" s="93">
        <f>+P14</f>
        <v>31642.589999999982</v>
      </c>
      <c r="Q17" s="66"/>
      <c r="R17" s="119">
        <f t="shared" si="5"/>
        <v>15714.569999999996</v>
      </c>
      <c r="S17" s="67"/>
    </row>
    <row r="18" spans="1:19" ht="12.75" hidden="1">
      <c r="A18" s="54" t="s">
        <v>66</v>
      </c>
      <c r="B18" s="102"/>
      <c r="C18" s="102"/>
      <c r="D18" s="102"/>
      <c r="E18" s="102"/>
      <c r="F18" s="118"/>
      <c r="G18" s="118"/>
      <c r="H18" s="118"/>
      <c r="I18" s="118"/>
      <c r="J18" s="118"/>
      <c r="K18" s="118"/>
      <c r="L18" s="118"/>
      <c r="M18" s="97"/>
      <c r="N18" s="118"/>
      <c r="O18" s="88"/>
      <c r="P18" s="93"/>
      <c r="Q18" s="66"/>
      <c r="R18" s="119">
        <f t="shared" si="5"/>
        <v>0</v>
      </c>
      <c r="S18" s="67"/>
    </row>
    <row r="19" spans="1:19" ht="12.75" hidden="1">
      <c r="A19" s="54" t="s">
        <v>67</v>
      </c>
      <c r="B19" s="102"/>
      <c r="C19" s="102"/>
      <c r="D19" s="102"/>
      <c r="E19" s="102"/>
      <c r="F19" s="118"/>
      <c r="G19" s="118"/>
      <c r="H19" s="118"/>
      <c r="I19" s="118"/>
      <c r="J19" s="118"/>
      <c r="K19" s="118"/>
      <c r="L19" s="118"/>
      <c r="M19" s="118"/>
      <c r="N19" s="118"/>
      <c r="O19" s="88"/>
      <c r="P19" s="93"/>
      <c r="Q19" s="66"/>
      <c r="R19" s="119">
        <f t="shared" si="5"/>
        <v>0</v>
      </c>
      <c r="S19" s="67"/>
    </row>
    <row r="20" spans="1:19" ht="12.75" hidden="1">
      <c r="A20" s="54" t="s">
        <v>68</v>
      </c>
      <c r="B20" s="102"/>
      <c r="C20" s="102"/>
      <c r="D20" s="102"/>
      <c r="E20" s="102"/>
      <c r="F20" s="118"/>
      <c r="G20" s="118"/>
      <c r="H20" s="118"/>
      <c r="I20" s="118"/>
      <c r="J20" s="118"/>
      <c r="K20" s="118"/>
      <c r="L20" s="118"/>
      <c r="M20" s="118"/>
      <c r="N20" s="118"/>
      <c r="O20" s="88"/>
      <c r="P20" s="93"/>
      <c r="Q20" s="66"/>
      <c r="R20" s="119">
        <f t="shared" si="5"/>
        <v>0</v>
      </c>
      <c r="S20" s="63"/>
    </row>
    <row r="21" spans="1:19" ht="12.75" hidden="1">
      <c r="A21" s="54" t="s">
        <v>69</v>
      </c>
      <c r="B21" s="102"/>
      <c r="C21" s="102"/>
      <c r="D21" s="102"/>
      <c r="E21" s="102"/>
      <c r="F21" s="118"/>
      <c r="G21" s="118"/>
      <c r="H21" s="118"/>
      <c r="I21" s="118"/>
      <c r="J21" s="118"/>
      <c r="K21" s="118"/>
      <c r="L21" s="118"/>
      <c r="M21" s="118"/>
      <c r="N21" s="118"/>
      <c r="O21" s="88"/>
      <c r="P21" s="93"/>
      <c r="Q21" s="66"/>
      <c r="R21" s="119">
        <f t="shared" si="5"/>
        <v>0</v>
      </c>
      <c r="S21" s="63"/>
    </row>
    <row r="22" spans="1:19" ht="12.75" hidden="1">
      <c r="A22" s="54" t="s">
        <v>70</v>
      </c>
      <c r="B22" s="102"/>
      <c r="C22" s="102"/>
      <c r="D22" s="102"/>
      <c r="E22" s="102"/>
      <c r="F22" s="118"/>
      <c r="G22" s="118"/>
      <c r="H22" s="118"/>
      <c r="I22" s="118"/>
      <c r="J22" s="118"/>
      <c r="K22" s="118"/>
      <c r="L22" s="118"/>
      <c r="M22" s="118"/>
      <c r="N22" s="118"/>
      <c r="O22" s="88"/>
      <c r="P22" s="93"/>
      <c r="Q22" s="66"/>
      <c r="R22" s="119">
        <f t="shared" si="5"/>
        <v>0</v>
      </c>
      <c r="S22" s="62"/>
    </row>
    <row r="23" spans="1:22" ht="12.75">
      <c r="A23" s="54" t="s">
        <v>20</v>
      </c>
      <c r="B23" s="102"/>
      <c r="C23" s="102"/>
      <c r="D23" s="102"/>
      <c r="E23" s="102"/>
      <c r="F23" s="118"/>
      <c r="G23" s="118"/>
      <c r="H23" s="118"/>
      <c r="I23" s="118"/>
      <c r="J23" s="118"/>
      <c r="K23" s="118"/>
      <c r="L23" s="118"/>
      <c r="M23" s="118"/>
      <c r="N23" s="118"/>
      <c r="O23" s="88">
        <f t="shared" si="3"/>
        <v>0</v>
      </c>
      <c r="P23" s="93">
        <f>+P17</f>
        <v>31642.589999999982</v>
      </c>
      <c r="Q23" s="69"/>
      <c r="R23" s="119">
        <f t="shared" si="5"/>
        <v>0</v>
      </c>
      <c r="U23" s="88"/>
      <c r="V23" s="88"/>
    </row>
    <row r="24" spans="1:18" ht="12.75">
      <c r="A24" s="54" t="s">
        <v>21</v>
      </c>
      <c r="B24" s="102"/>
      <c r="C24" s="102"/>
      <c r="D24" s="102"/>
      <c r="E24" s="102"/>
      <c r="F24" s="118"/>
      <c r="G24" s="118"/>
      <c r="H24" s="118"/>
      <c r="I24" s="118"/>
      <c r="J24" s="118"/>
      <c r="K24" s="118"/>
      <c r="L24" s="118"/>
      <c r="M24" s="118"/>
      <c r="N24" s="118">
        <v>4000</v>
      </c>
      <c r="O24" s="88">
        <f t="shared" si="3"/>
        <v>4000</v>
      </c>
      <c r="P24" s="93">
        <f t="shared" si="4"/>
        <v>31642.589999999982</v>
      </c>
      <c r="Q24" s="69"/>
      <c r="R24" s="119">
        <f t="shared" si="5"/>
        <v>4000</v>
      </c>
    </row>
    <row r="25" spans="1:18" ht="12.75">
      <c r="A25" s="54" t="s">
        <v>43</v>
      </c>
      <c r="B25" s="102"/>
      <c r="C25" s="102"/>
      <c r="D25" s="102"/>
      <c r="E25" s="102"/>
      <c r="F25" s="118">
        <v>20000</v>
      </c>
      <c r="G25" s="118"/>
      <c r="H25" s="118"/>
      <c r="I25" s="118"/>
      <c r="J25" s="118"/>
      <c r="K25" s="118"/>
      <c r="L25" s="118"/>
      <c r="M25" s="118"/>
      <c r="N25" s="118"/>
      <c r="O25" s="88">
        <f t="shared" si="3"/>
        <v>20000</v>
      </c>
      <c r="P25" s="93">
        <f t="shared" si="4"/>
        <v>31642.589999999982</v>
      </c>
      <c r="Q25" s="64"/>
      <c r="R25" s="119">
        <f t="shared" si="5"/>
        <v>20000</v>
      </c>
    </row>
    <row r="26" spans="1:21" ht="12.75">
      <c r="A26" s="54" t="s">
        <v>53</v>
      </c>
      <c r="B26" s="102"/>
      <c r="C26" s="102"/>
      <c r="D26" s="102"/>
      <c r="E26" s="102"/>
      <c r="F26" s="118"/>
      <c r="G26" s="118"/>
      <c r="H26" s="118"/>
      <c r="I26" s="118"/>
      <c r="J26" s="118"/>
      <c r="K26" s="118"/>
      <c r="L26" s="118"/>
      <c r="M26" s="118"/>
      <c r="N26" s="118"/>
      <c r="O26" s="88">
        <f t="shared" si="3"/>
        <v>0</v>
      </c>
      <c r="P26" s="93">
        <f t="shared" si="4"/>
        <v>31642.589999999982</v>
      </c>
      <c r="R26" s="119">
        <f t="shared" si="5"/>
        <v>0</v>
      </c>
      <c r="U26" s="88"/>
    </row>
    <row r="27" spans="1:21" ht="12.75">
      <c r="A27" s="54" t="s">
        <v>59</v>
      </c>
      <c r="B27" s="102"/>
      <c r="C27" s="102"/>
      <c r="D27" s="102"/>
      <c r="E27" s="102"/>
      <c r="F27" s="118"/>
      <c r="G27" s="118"/>
      <c r="H27" s="118"/>
      <c r="I27" s="118"/>
      <c r="J27" s="118"/>
      <c r="K27" s="118"/>
      <c r="L27" s="118"/>
      <c r="M27" s="118"/>
      <c r="N27" s="118"/>
      <c r="O27" s="88">
        <f t="shared" si="3"/>
        <v>0</v>
      </c>
      <c r="P27" s="93">
        <f t="shared" si="4"/>
        <v>31642.589999999982</v>
      </c>
      <c r="R27" s="119">
        <f t="shared" si="5"/>
        <v>0</v>
      </c>
      <c r="U27" s="63"/>
    </row>
    <row r="28" spans="1:18" ht="12.75">
      <c r="A28" s="54" t="s">
        <v>58</v>
      </c>
      <c r="B28" s="102"/>
      <c r="C28" s="102"/>
      <c r="D28" s="102"/>
      <c r="E28" s="102"/>
      <c r="F28" s="118"/>
      <c r="G28" s="118"/>
      <c r="H28" s="118"/>
      <c r="I28" s="118"/>
      <c r="J28" s="118"/>
      <c r="K28" s="118"/>
      <c r="L28" s="118"/>
      <c r="M28" s="118"/>
      <c r="N28" s="118"/>
      <c r="O28" s="88">
        <f t="shared" si="3"/>
        <v>0</v>
      </c>
      <c r="P28" s="93">
        <f t="shared" si="4"/>
        <v>31642.589999999982</v>
      </c>
      <c r="R28" s="119">
        <f t="shared" si="5"/>
        <v>0</v>
      </c>
    </row>
    <row r="29" spans="1:18" ht="12.75">
      <c r="A29" s="54" t="s">
        <v>54</v>
      </c>
      <c r="B29" s="102">
        <v>312</v>
      </c>
      <c r="C29" s="102"/>
      <c r="D29" s="102"/>
      <c r="E29" s="102"/>
      <c r="F29" s="118"/>
      <c r="G29" s="118"/>
      <c r="H29" s="118"/>
      <c r="I29" s="118"/>
      <c r="J29" s="118"/>
      <c r="K29" s="118"/>
      <c r="L29" s="118"/>
      <c r="M29" s="98"/>
      <c r="N29" s="118"/>
      <c r="O29" s="88">
        <f t="shared" si="3"/>
        <v>312</v>
      </c>
      <c r="P29" s="93">
        <f t="shared" si="4"/>
        <v>31642.589999999982</v>
      </c>
      <c r="R29" s="119">
        <f t="shared" si="5"/>
        <v>312</v>
      </c>
    </row>
    <row r="30" spans="1:18" ht="12.75">
      <c r="A30" s="54" t="s">
        <v>109</v>
      </c>
      <c r="B30" s="102"/>
      <c r="C30" s="102"/>
      <c r="D30" s="102"/>
      <c r="E30" s="102"/>
      <c r="F30" s="118"/>
      <c r="G30" s="118"/>
      <c r="H30" s="118">
        <v>4000</v>
      </c>
      <c r="I30" s="118"/>
      <c r="J30" s="118"/>
      <c r="K30" s="118"/>
      <c r="L30" s="118">
        <v>4000</v>
      </c>
      <c r="M30" s="118"/>
      <c r="N30" s="118"/>
      <c r="O30" s="88">
        <f>SUM(B30:N30)</f>
        <v>8000</v>
      </c>
      <c r="P30" s="93">
        <f t="shared" si="4"/>
        <v>31642.589999999982</v>
      </c>
      <c r="R30" s="119">
        <f>SUM(B30:N30)</f>
        <v>8000</v>
      </c>
    </row>
    <row r="31" spans="1:18" ht="12.75">
      <c r="A31" s="54" t="s">
        <v>22</v>
      </c>
      <c r="B31" s="102"/>
      <c r="C31" s="102"/>
      <c r="D31" s="102"/>
      <c r="E31" s="102"/>
      <c r="F31" s="118"/>
      <c r="G31" s="118"/>
      <c r="H31" s="118"/>
      <c r="I31" s="118"/>
      <c r="J31" s="118"/>
      <c r="K31" s="118"/>
      <c r="L31" s="118"/>
      <c r="M31" s="98"/>
      <c r="N31" s="118"/>
      <c r="O31" s="88">
        <f t="shared" si="3"/>
        <v>0</v>
      </c>
      <c r="P31" s="93">
        <f t="shared" si="4"/>
        <v>31642.589999999982</v>
      </c>
      <c r="Q31" s="65"/>
      <c r="R31" s="119">
        <f t="shared" si="5"/>
        <v>0</v>
      </c>
    </row>
    <row r="32" spans="1:18" ht="12.75">
      <c r="A32" s="54" t="s">
        <v>23</v>
      </c>
      <c r="B32" s="102">
        <v>505.62</v>
      </c>
      <c r="C32" s="102">
        <v>1000</v>
      </c>
      <c r="D32" s="102"/>
      <c r="E32" s="102"/>
      <c r="F32" s="118"/>
      <c r="G32" s="118"/>
      <c r="H32" s="118"/>
      <c r="I32" s="118"/>
      <c r="J32" s="118"/>
      <c r="K32" s="118"/>
      <c r="L32" s="118"/>
      <c r="M32" s="118"/>
      <c r="N32" s="118"/>
      <c r="O32" s="88">
        <f t="shared" si="3"/>
        <v>1505.62</v>
      </c>
      <c r="P32" s="93">
        <f t="shared" si="4"/>
        <v>31642.589999999982</v>
      </c>
      <c r="R32" s="119">
        <f t="shared" si="5"/>
        <v>1505.62</v>
      </c>
    </row>
    <row r="33" spans="1:18" ht="12.75">
      <c r="A33" s="120" t="s">
        <v>24</v>
      </c>
      <c r="B33" s="102">
        <v>1000</v>
      </c>
      <c r="C33" s="102"/>
      <c r="D33" s="102"/>
      <c r="E33" s="102"/>
      <c r="F33" s="118">
        <v>2000</v>
      </c>
      <c r="G33" s="118">
        <v>2000</v>
      </c>
      <c r="H33" s="118">
        <v>2000</v>
      </c>
      <c r="I33" s="118">
        <v>2000</v>
      </c>
      <c r="J33" s="118">
        <v>2000</v>
      </c>
      <c r="K33" s="118">
        <v>2000</v>
      </c>
      <c r="L33" s="118">
        <v>2000</v>
      </c>
      <c r="M33" s="118">
        <v>2000</v>
      </c>
      <c r="N33" s="118">
        <v>2000</v>
      </c>
      <c r="O33" s="88">
        <f t="shared" si="3"/>
        <v>19000</v>
      </c>
      <c r="P33" s="93">
        <f t="shared" si="4"/>
        <v>31642.589999999982</v>
      </c>
      <c r="R33" s="119">
        <f t="shared" si="5"/>
        <v>19000</v>
      </c>
    </row>
    <row r="34" spans="1:18" ht="12.75">
      <c r="A34" s="87" t="s">
        <v>25</v>
      </c>
      <c r="B34" s="102"/>
      <c r="C34" s="102"/>
      <c r="D34" s="102"/>
      <c r="E34" s="102"/>
      <c r="F34" s="118"/>
      <c r="G34" s="118"/>
      <c r="H34" s="118"/>
      <c r="I34" s="118"/>
      <c r="J34" s="118"/>
      <c r="K34" s="118"/>
      <c r="L34" s="118"/>
      <c r="M34" s="118"/>
      <c r="N34" s="118"/>
      <c r="O34" s="88">
        <f t="shared" si="3"/>
        <v>0</v>
      </c>
      <c r="P34" s="93">
        <f t="shared" si="4"/>
        <v>31642.589999999982</v>
      </c>
      <c r="R34" s="119">
        <f t="shared" si="5"/>
        <v>0</v>
      </c>
    </row>
    <row r="35" spans="1:18" ht="12.75">
      <c r="A35" s="120" t="s">
        <v>26</v>
      </c>
      <c r="B35" s="102"/>
      <c r="C35" s="102"/>
      <c r="D35" s="102"/>
      <c r="E35" s="102"/>
      <c r="F35" s="118"/>
      <c r="G35" s="118"/>
      <c r="H35" s="118"/>
      <c r="I35" s="118"/>
      <c r="J35" s="118"/>
      <c r="K35" s="118"/>
      <c r="L35" s="118"/>
      <c r="M35" s="118"/>
      <c r="N35" s="118"/>
      <c r="O35" s="88">
        <f t="shared" si="3"/>
        <v>0</v>
      </c>
      <c r="P35" s="93">
        <f t="shared" si="4"/>
        <v>31642.589999999982</v>
      </c>
      <c r="R35" s="119">
        <f t="shared" si="5"/>
        <v>0</v>
      </c>
    </row>
    <row r="36" spans="1:18" ht="12.75">
      <c r="A36" s="120" t="s">
        <v>50</v>
      </c>
      <c r="B36" s="102">
        <f>153.87+155+131.13</f>
        <v>440</v>
      </c>
      <c r="C36" s="102">
        <v>153.19</v>
      </c>
      <c r="D36" s="102"/>
      <c r="E36" s="102"/>
      <c r="F36" s="118"/>
      <c r="G36" s="118"/>
      <c r="H36" s="118"/>
      <c r="I36" s="118"/>
      <c r="J36" s="118"/>
      <c r="K36" s="118"/>
      <c r="L36" s="118"/>
      <c r="M36" s="118"/>
      <c r="N36" s="118"/>
      <c r="O36" s="88">
        <f t="shared" si="3"/>
        <v>593.19</v>
      </c>
      <c r="P36" s="93">
        <f t="shared" si="4"/>
        <v>31642.589999999982</v>
      </c>
      <c r="R36" s="119">
        <f t="shared" si="5"/>
        <v>593.19</v>
      </c>
    </row>
    <row r="37" spans="1:18" ht="12.75">
      <c r="A37" s="120"/>
      <c r="B37" s="102"/>
      <c r="C37" s="102"/>
      <c r="D37" s="102"/>
      <c r="E37" s="102"/>
      <c r="F37" s="118"/>
      <c r="G37" s="118"/>
      <c r="H37" s="118"/>
      <c r="I37" s="118"/>
      <c r="J37" s="118"/>
      <c r="K37" s="118"/>
      <c r="L37" s="118"/>
      <c r="M37" s="118"/>
      <c r="N37" s="118"/>
      <c r="O37" s="88"/>
      <c r="P37" s="93">
        <f t="shared" si="4"/>
        <v>31642.589999999982</v>
      </c>
      <c r="R37" s="108"/>
    </row>
    <row r="38" spans="1:18" ht="1.5" customHeight="1" thickBot="1">
      <c r="A38" s="54"/>
      <c r="B38" s="101"/>
      <c r="C38" s="101"/>
      <c r="D38" s="101"/>
      <c r="E38" s="101"/>
      <c r="F38" s="117"/>
      <c r="G38" s="117"/>
      <c r="H38" s="117"/>
      <c r="I38" s="117"/>
      <c r="J38" s="117"/>
      <c r="K38" s="117"/>
      <c r="L38" s="117"/>
      <c r="M38" s="117"/>
      <c r="N38" s="117"/>
      <c r="P38" s="93">
        <f t="shared" si="4"/>
        <v>31642.589999999982</v>
      </c>
      <c r="R38" s="108"/>
    </row>
    <row r="39" spans="1:18" ht="13.5" thickBot="1">
      <c r="A39" s="17" t="s">
        <v>27</v>
      </c>
      <c r="B39" s="121">
        <f aca="true" t="shared" si="7" ref="B39:L39">+B13+B14+B17+B23+B24+B25+B26+B27+B28+B29+B30+B31+B32+B33+B34+B35+B36</f>
        <v>16460.190000000002</v>
      </c>
      <c r="C39" s="121">
        <f t="shared" si="7"/>
        <v>16540.84</v>
      </c>
      <c r="D39" s="121">
        <f t="shared" si="7"/>
        <v>14323.32</v>
      </c>
      <c r="E39" s="121"/>
      <c r="F39" s="122">
        <f t="shared" si="7"/>
        <v>37868.03</v>
      </c>
      <c r="G39" s="122">
        <f t="shared" si="7"/>
        <v>19579.39</v>
      </c>
      <c r="H39" s="122">
        <f t="shared" si="7"/>
        <v>21247.39</v>
      </c>
      <c r="I39" s="122">
        <f t="shared" si="7"/>
        <v>17415.39</v>
      </c>
      <c r="J39" s="122">
        <f t="shared" si="7"/>
        <v>17583.39</v>
      </c>
      <c r="K39" s="122">
        <f t="shared" si="7"/>
        <v>17751.39</v>
      </c>
      <c r="L39" s="122">
        <f t="shared" si="7"/>
        <v>21919.39</v>
      </c>
      <c r="M39" s="122">
        <f>+M13+M14+M17+M23+M24+M25+M26+M27+M28+M29+M30+N30+M32+M33+M34+M35+M36</f>
        <v>20587.39</v>
      </c>
      <c r="N39" s="122">
        <f>+N13+N14+N17+N23+N24+N25+N26+N27+N28+N29+N30+O30+N32+N33+N34+N35+N36</f>
        <v>30261.39</v>
      </c>
      <c r="O39" s="45">
        <f>SUM(B39:N39)</f>
        <v>251537.50000000006</v>
      </c>
      <c r="P39" s="93">
        <f t="shared" si="4"/>
        <v>31642.589999999982</v>
      </c>
      <c r="R39" s="123">
        <f>+R13+R14+R17+R23+R24+R25+R26+R27+R28+R29+R30+R31+R32+R33+R34+R35+R36</f>
        <v>243537.5</v>
      </c>
    </row>
    <row r="40" spans="1:18" ht="12.75">
      <c r="A40" s="54"/>
      <c r="B40" s="124"/>
      <c r="C40" s="124"/>
      <c r="D40" s="124"/>
      <c r="E40" s="124"/>
      <c r="F40" s="125"/>
      <c r="G40" s="125"/>
      <c r="H40" s="125"/>
      <c r="I40" s="125"/>
      <c r="J40" s="125"/>
      <c r="K40" s="125"/>
      <c r="L40" s="125"/>
      <c r="M40" s="125"/>
      <c r="N40" s="125"/>
      <c r="P40" s="93">
        <f t="shared" si="4"/>
        <v>31642.589999999982</v>
      </c>
      <c r="R40" s="108"/>
    </row>
    <row r="41" spans="1:18" ht="12.75">
      <c r="A41" s="54" t="s">
        <v>28</v>
      </c>
      <c r="B41" s="126">
        <f>311-288.75</f>
        <v>22.25</v>
      </c>
      <c r="C41" s="126">
        <f>12.25+7+1.75+98+10.5+10.5+26.25+17.5+50.75+3.5+3.5+47.25+87.5+878.5+1001+260+785.25-45</f>
        <v>3256</v>
      </c>
      <c r="D41" s="126">
        <f>1.75+12.25+1.75+50.75+26.25+101.5+10.5+17.5</f>
        <v>222.25</v>
      </c>
      <c r="E41" s="126"/>
      <c r="F41" s="127">
        <v>1400</v>
      </c>
      <c r="G41" s="127">
        <v>1400</v>
      </c>
      <c r="H41" s="127">
        <v>1400</v>
      </c>
      <c r="I41" s="127">
        <v>1400</v>
      </c>
      <c r="J41" s="127">
        <v>1400</v>
      </c>
      <c r="K41" s="127">
        <v>1400</v>
      </c>
      <c r="L41" s="127">
        <v>1400</v>
      </c>
      <c r="M41" s="127">
        <v>1400</v>
      </c>
      <c r="N41" s="127">
        <v>1400</v>
      </c>
      <c r="O41" s="88">
        <f aca="true" t="shared" si="8" ref="O41:O46">SUM(B41:N41)</f>
        <v>16100.5</v>
      </c>
      <c r="P41" s="93">
        <f t="shared" si="4"/>
        <v>31642.589999999982</v>
      </c>
      <c r="R41" s="119">
        <f aca="true" t="shared" si="9" ref="R41:R46">SUM(B41:N41)</f>
        <v>16100.5</v>
      </c>
    </row>
    <row r="42" spans="1:18" ht="12.75">
      <c r="A42" s="54" t="s">
        <v>55</v>
      </c>
      <c r="B42" s="126"/>
      <c r="C42" s="126"/>
      <c r="D42" s="126"/>
      <c r="E42" s="126"/>
      <c r="F42" s="127">
        <v>171000</v>
      </c>
      <c r="G42" s="127"/>
      <c r="H42" s="127"/>
      <c r="I42" s="127"/>
      <c r="J42" s="127"/>
      <c r="K42" s="127"/>
      <c r="L42" s="127"/>
      <c r="M42" s="127"/>
      <c r="N42" s="127"/>
      <c r="O42" s="88">
        <f t="shared" si="8"/>
        <v>171000</v>
      </c>
      <c r="P42" s="93">
        <f t="shared" si="4"/>
        <v>31642.589999999982</v>
      </c>
      <c r="R42" s="119">
        <f t="shared" si="9"/>
        <v>171000</v>
      </c>
    </row>
    <row r="43" spans="1:18" ht="12.75" hidden="1">
      <c r="A43" s="54" t="s">
        <v>52</v>
      </c>
      <c r="B43" s="126"/>
      <c r="C43" s="126"/>
      <c r="D43" s="126"/>
      <c r="E43" s="126"/>
      <c r="F43" s="127"/>
      <c r="G43" s="127"/>
      <c r="H43" s="127"/>
      <c r="I43" s="127"/>
      <c r="J43" s="127"/>
      <c r="K43" s="127"/>
      <c r="L43" s="127"/>
      <c r="M43" s="127"/>
      <c r="N43" s="127"/>
      <c r="O43" s="88">
        <f t="shared" si="8"/>
        <v>0</v>
      </c>
      <c r="P43" s="93">
        <f t="shared" si="4"/>
        <v>31642.589999999982</v>
      </c>
      <c r="R43" s="119">
        <f t="shared" si="9"/>
        <v>0</v>
      </c>
    </row>
    <row r="44" spans="1:18" ht="12.75">
      <c r="A44" s="54" t="s">
        <v>61</v>
      </c>
      <c r="B44" s="126"/>
      <c r="C44" s="126"/>
      <c r="D44" s="126"/>
      <c r="E44" s="126"/>
      <c r="F44" s="127"/>
      <c r="G44" s="127"/>
      <c r="H44" s="127"/>
      <c r="I44" s="127"/>
      <c r="J44" s="127"/>
      <c r="K44" s="127"/>
      <c r="L44" s="127"/>
      <c r="M44" s="127"/>
      <c r="N44" s="127"/>
      <c r="O44" s="88">
        <f t="shared" si="8"/>
        <v>0</v>
      </c>
      <c r="P44" s="93">
        <f t="shared" si="4"/>
        <v>31642.589999999982</v>
      </c>
      <c r="R44" s="119">
        <f t="shared" si="9"/>
        <v>0</v>
      </c>
    </row>
    <row r="45" spans="1:18" ht="12.75" customHeight="1" hidden="1">
      <c r="A45" s="54" t="s">
        <v>29</v>
      </c>
      <c r="B45" s="126"/>
      <c r="C45" s="126"/>
      <c r="D45" s="126"/>
      <c r="E45" s="126"/>
      <c r="F45" s="127"/>
      <c r="G45" s="127"/>
      <c r="H45" s="127"/>
      <c r="I45" s="127"/>
      <c r="J45" s="127"/>
      <c r="K45" s="127"/>
      <c r="L45" s="127"/>
      <c r="M45" s="127"/>
      <c r="N45" s="127"/>
      <c r="O45" s="88">
        <f t="shared" si="8"/>
        <v>0</v>
      </c>
      <c r="P45" s="93">
        <f t="shared" si="4"/>
        <v>31642.589999999982</v>
      </c>
      <c r="R45" s="119">
        <f t="shared" si="9"/>
        <v>0</v>
      </c>
    </row>
    <row r="46" spans="1:18" ht="12.75" customHeight="1">
      <c r="A46" s="120" t="s">
        <v>30</v>
      </c>
      <c r="B46" s="126"/>
      <c r="C46" s="126"/>
      <c r="D46" s="126"/>
      <c r="E46" s="126"/>
      <c r="F46" s="127"/>
      <c r="G46" s="127"/>
      <c r="H46" s="127"/>
      <c r="I46" s="127"/>
      <c r="J46" s="127"/>
      <c r="K46" s="127"/>
      <c r="L46" s="127"/>
      <c r="M46" s="127"/>
      <c r="N46" s="127"/>
      <c r="O46" s="88">
        <f t="shared" si="8"/>
        <v>0</v>
      </c>
      <c r="P46" s="93">
        <f t="shared" si="4"/>
        <v>31642.589999999982</v>
      </c>
      <c r="R46" s="119">
        <f t="shared" si="9"/>
        <v>0</v>
      </c>
    </row>
    <row r="47" spans="1:18" ht="1.5" customHeight="1" thickBot="1">
      <c r="A47" s="54"/>
      <c r="B47" s="124"/>
      <c r="C47" s="124"/>
      <c r="D47" s="124"/>
      <c r="E47" s="124"/>
      <c r="F47" s="128"/>
      <c r="G47" s="128"/>
      <c r="H47" s="128"/>
      <c r="I47" s="128"/>
      <c r="J47" s="128"/>
      <c r="K47" s="128"/>
      <c r="L47" s="128"/>
      <c r="M47" s="128"/>
      <c r="N47" s="128"/>
      <c r="P47" s="93">
        <f t="shared" si="4"/>
        <v>31642.589999999982</v>
      </c>
      <c r="R47" s="108"/>
    </row>
    <row r="48" spans="1:18" ht="13.5" thickBot="1">
      <c r="A48" s="17" t="s">
        <v>31</v>
      </c>
      <c r="B48" s="121">
        <f>SUM(B41:B47)</f>
        <v>22.25</v>
      </c>
      <c r="C48" s="121">
        <f aca="true" t="shared" si="10" ref="C48:J48">SUM(C41:C47)</f>
        <v>3256</v>
      </c>
      <c r="D48" s="121">
        <f t="shared" si="10"/>
        <v>222.25</v>
      </c>
      <c r="E48" s="121"/>
      <c r="F48" s="129">
        <f t="shared" si="10"/>
        <v>172400</v>
      </c>
      <c r="G48" s="129">
        <f t="shared" si="10"/>
        <v>1400</v>
      </c>
      <c r="H48" s="129">
        <f t="shared" si="10"/>
        <v>1400</v>
      </c>
      <c r="I48" s="129">
        <f t="shared" si="10"/>
        <v>1400</v>
      </c>
      <c r="J48" s="129">
        <f t="shared" si="10"/>
        <v>1400</v>
      </c>
      <c r="K48" s="129">
        <f>SUM(K41:K47)</f>
        <v>1400</v>
      </c>
      <c r="L48" s="129">
        <f>SUM(L41:L47)</f>
        <v>1400</v>
      </c>
      <c r="M48" s="129">
        <f>SUM(M41:M47)</f>
        <v>1400</v>
      </c>
      <c r="N48" s="129">
        <f>SUM(N41:N47)</f>
        <v>1400</v>
      </c>
      <c r="O48" s="45">
        <f>SUM(B48:N48)</f>
        <v>187100.5</v>
      </c>
      <c r="P48" s="93">
        <f t="shared" si="4"/>
        <v>31642.589999999982</v>
      </c>
      <c r="R48" s="123">
        <f>SUM(R41:R47)</f>
        <v>187100.5</v>
      </c>
    </row>
    <row r="49" spans="1:18" ht="1.5" customHeight="1" thickBot="1">
      <c r="A49" s="54"/>
      <c r="B49" s="124"/>
      <c r="C49" s="124"/>
      <c r="D49" s="124"/>
      <c r="E49" s="124"/>
      <c r="F49" s="128"/>
      <c r="G49" s="128"/>
      <c r="H49" s="128"/>
      <c r="I49" s="128"/>
      <c r="J49" s="128"/>
      <c r="K49" s="128"/>
      <c r="L49" s="128"/>
      <c r="M49" s="128"/>
      <c r="N49" s="128"/>
      <c r="P49" s="93">
        <f t="shared" si="4"/>
        <v>31642.589999999982</v>
      </c>
      <c r="R49" s="108"/>
    </row>
    <row r="50" spans="1:18" ht="13.5" thickBot="1">
      <c r="A50" s="10" t="s">
        <v>32</v>
      </c>
      <c r="B50" s="126">
        <f aca="true" t="shared" si="11" ref="B50:O50">+B10-B39+B48</f>
        <v>79641.65</v>
      </c>
      <c r="C50" s="126">
        <f t="shared" si="11"/>
        <v>66356.81</v>
      </c>
      <c r="D50" s="126">
        <f t="shared" si="11"/>
        <v>52255.74</v>
      </c>
      <c r="E50" s="126"/>
      <c r="F50" s="130">
        <f t="shared" si="11"/>
        <v>186787.71</v>
      </c>
      <c r="G50" s="130">
        <f t="shared" si="11"/>
        <v>168608.32</v>
      </c>
      <c r="H50" s="130">
        <f t="shared" si="11"/>
        <v>148760.93</v>
      </c>
      <c r="I50" s="130">
        <f t="shared" si="11"/>
        <v>132745.53999999998</v>
      </c>
      <c r="J50" s="130">
        <f t="shared" si="11"/>
        <v>116562.14999999998</v>
      </c>
      <c r="K50" s="130">
        <f t="shared" si="11"/>
        <v>100210.75999999998</v>
      </c>
      <c r="L50" s="130">
        <f t="shared" si="11"/>
        <v>79691.36999999998</v>
      </c>
      <c r="M50" s="130">
        <f t="shared" si="11"/>
        <v>60503.97999999998</v>
      </c>
      <c r="N50" s="130">
        <f t="shared" si="11"/>
        <v>31642.589999999982</v>
      </c>
      <c r="O50" s="88">
        <f t="shared" si="11"/>
        <v>31642.58999999994</v>
      </c>
      <c r="P50" s="93">
        <f t="shared" si="4"/>
        <v>31642.589999999982</v>
      </c>
      <c r="R50" s="123">
        <f>+R10-R39+R48</f>
        <v>39642.59</v>
      </c>
    </row>
    <row r="51" spans="1:15" ht="12.75">
      <c r="A51" s="131"/>
      <c r="B51" s="132"/>
      <c r="C51" s="132"/>
      <c r="D51" s="132"/>
      <c r="E51" s="132"/>
      <c r="F51" s="133"/>
      <c r="G51" s="133"/>
      <c r="H51" s="133"/>
      <c r="I51" s="133"/>
      <c r="J51" s="133"/>
      <c r="K51" s="133"/>
      <c r="L51" s="133"/>
      <c r="M51" s="133"/>
      <c r="N51" s="133"/>
      <c r="O51" s="88"/>
    </row>
    <row r="53" ht="12.75">
      <c r="N53" s="114"/>
    </row>
    <row r="54" ht="12.75">
      <c r="N54" s="93"/>
    </row>
    <row r="55" ht="12.75">
      <c r="N55" s="93"/>
    </row>
    <row r="56" spans="1:14" ht="12.75">
      <c r="A56" s="151" t="s">
        <v>108</v>
      </c>
      <c r="B56" s="152">
        <v>4595</v>
      </c>
      <c r="C56" s="152">
        <v>4531</v>
      </c>
      <c r="D56" s="152">
        <v>4558</v>
      </c>
      <c r="E56" s="152"/>
      <c r="F56" s="152">
        <v>4550</v>
      </c>
      <c r="G56" s="152">
        <v>4606</v>
      </c>
      <c r="H56" s="152">
        <v>4662</v>
      </c>
      <c r="I56" s="152">
        <v>4718</v>
      </c>
      <c r="J56" s="152">
        <v>4774</v>
      </c>
      <c r="K56" s="152">
        <v>4830</v>
      </c>
      <c r="L56" s="152">
        <v>4886</v>
      </c>
      <c r="M56" s="152">
        <v>4942</v>
      </c>
      <c r="N56" s="152">
        <v>5000</v>
      </c>
    </row>
    <row r="57" spans="1:14" ht="12.75">
      <c r="A57" s="60" t="s">
        <v>102</v>
      </c>
      <c r="B57" s="60">
        <f>+B14/B56</f>
        <v>2.8979325353645264</v>
      </c>
      <c r="C57" s="60">
        <f aca="true" t="shared" si="12" ref="C57:N57">+C14/C56</f>
        <v>2.992443169278305</v>
      </c>
      <c r="D57" s="60">
        <f t="shared" si="12"/>
        <v>2.9929091706888986</v>
      </c>
      <c r="F57" s="60">
        <f t="shared" si="12"/>
        <v>2.9981714285714287</v>
      </c>
      <c r="G57" s="60">
        <f t="shared" si="12"/>
        <v>3</v>
      </c>
      <c r="H57" s="60">
        <f t="shared" si="12"/>
        <v>3</v>
      </c>
      <c r="I57" s="60">
        <f t="shared" si="12"/>
        <v>3</v>
      </c>
      <c r="J57" s="60">
        <f t="shared" si="12"/>
        <v>3</v>
      </c>
      <c r="K57" s="60">
        <f t="shared" si="12"/>
        <v>3</v>
      </c>
      <c r="L57" s="60">
        <f t="shared" si="12"/>
        <v>3</v>
      </c>
      <c r="M57" s="60">
        <f t="shared" si="12"/>
        <v>3</v>
      </c>
      <c r="N57" s="60">
        <f t="shared" si="12"/>
        <v>3</v>
      </c>
    </row>
  </sheetData>
  <sheetProtection/>
  <mergeCells count="2">
    <mergeCell ref="B5:D6"/>
    <mergeCell ref="F5:N6"/>
  </mergeCells>
  <printOptions headings="1"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42"/>
  <sheetViews>
    <sheetView zoomScale="85" zoomScaleNormal="85" zoomScalePageLayoutView="0" workbookViewId="0" topLeftCell="A1">
      <pane xSplit="1" ySplit="8" topLeftCell="B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3" sqref="B3:D3"/>
    </sheetView>
  </sheetViews>
  <sheetFormatPr defaultColWidth="9.140625" defaultRowHeight="12.75"/>
  <cols>
    <col min="1" max="1" width="46.8515625" style="0" customWidth="1"/>
    <col min="2" max="3" width="10.7109375" style="0" customWidth="1"/>
    <col min="4" max="4" width="11.28125" style="0" customWidth="1"/>
    <col min="5" max="6" width="11.57421875" style="0" customWidth="1"/>
    <col min="7" max="7" width="10.7109375" style="0" customWidth="1"/>
    <col min="8" max="8" width="10.28125" style="0" customWidth="1"/>
    <col min="9" max="9" width="11.57421875" style="0" bestFit="1" customWidth="1"/>
    <col min="10" max="10" width="10.421875" style="0" customWidth="1"/>
    <col min="11" max="11" width="10.28125" style="0" customWidth="1"/>
    <col min="12" max="13" width="10.7109375" style="0" customWidth="1"/>
    <col min="14" max="14" width="11.28125" style="19" hidden="1" customWidth="1"/>
    <col min="15" max="15" width="10.140625" style="19" hidden="1" customWidth="1"/>
    <col min="16" max="16" width="12.140625" style="0" hidden="1" customWidth="1"/>
  </cols>
  <sheetData>
    <row r="2" ht="13.5" thickBot="1"/>
    <row r="3" spans="1:16" ht="20.25">
      <c r="A3" s="20" t="s">
        <v>62</v>
      </c>
      <c r="B3" s="211" t="s">
        <v>111</v>
      </c>
      <c r="C3" s="212"/>
      <c r="D3" s="212"/>
      <c r="E3" s="211" t="s">
        <v>110</v>
      </c>
      <c r="F3" s="211"/>
      <c r="G3" s="211"/>
      <c r="H3" s="211"/>
      <c r="I3" s="211"/>
      <c r="J3" s="211"/>
      <c r="K3" s="211"/>
      <c r="L3" s="211"/>
      <c r="M3" s="213"/>
      <c r="N3" s="46"/>
      <c r="O3" s="73"/>
      <c r="P3" s="82"/>
    </row>
    <row r="4" spans="1:16" ht="20.25">
      <c r="A4" s="21" t="s">
        <v>60</v>
      </c>
      <c r="B4" s="3"/>
      <c r="C4" s="3"/>
      <c r="D4" s="3"/>
      <c r="E4" s="3"/>
      <c r="F4" s="3"/>
      <c r="G4" s="22"/>
      <c r="H4" s="3"/>
      <c r="I4" s="3"/>
      <c r="J4" s="3"/>
      <c r="K4" s="22"/>
      <c r="L4" s="3"/>
      <c r="M4" s="22"/>
      <c r="N4" s="31"/>
      <c r="O4" s="74"/>
      <c r="P4" s="82"/>
    </row>
    <row r="5" spans="1:16" ht="12.75">
      <c r="A5" s="24"/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25" t="s">
        <v>9</v>
      </c>
      <c r="H5" s="7" t="s">
        <v>10</v>
      </c>
      <c r="I5" s="7" t="s">
        <v>11</v>
      </c>
      <c r="J5" s="7" t="s">
        <v>12</v>
      </c>
      <c r="K5" s="25" t="s">
        <v>13</v>
      </c>
      <c r="L5" s="7" t="s">
        <v>14</v>
      </c>
      <c r="M5" s="25" t="s">
        <v>15</v>
      </c>
      <c r="N5" s="47" t="s">
        <v>33</v>
      </c>
      <c r="O5" s="75" t="s">
        <v>34</v>
      </c>
      <c r="P5" s="83" t="s">
        <v>72</v>
      </c>
    </row>
    <row r="6" spans="1:16" ht="9.75" customHeight="1" thickBot="1">
      <c r="A6" s="26"/>
      <c r="B6" s="9"/>
      <c r="C6" s="9"/>
      <c r="D6" s="9"/>
      <c r="E6" s="9"/>
      <c r="F6" s="9"/>
      <c r="G6" s="27"/>
      <c r="H6" s="28"/>
      <c r="I6" s="28"/>
      <c r="J6" s="28"/>
      <c r="K6" s="29"/>
      <c r="L6" s="28"/>
      <c r="M6" s="29"/>
      <c r="N6" s="48"/>
      <c r="O6" s="74"/>
      <c r="P6" s="82"/>
    </row>
    <row r="7" spans="1:16" ht="13.5" thickBot="1">
      <c r="A7" s="10" t="s">
        <v>63</v>
      </c>
      <c r="B7" s="11">
        <f>+Original!B10</f>
        <v>96079.59</v>
      </c>
      <c r="C7" s="11">
        <f aca="true" t="shared" si="0" ref="C7:M7">+B34</f>
        <v>79641.65</v>
      </c>
      <c r="D7" s="11">
        <f t="shared" si="0"/>
        <v>66356.81</v>
      </c>
      <c r="E7" s="11">
        <f>+D34</f>
        <v>52255.74</v>
      </c>
      <c r="F7" s="11">
        <f t="shared" si="0"/>
        <v>186787.71</v>
      </c>
      <c r="G7" s="30">
        <f t="shared" si="0"/>
        <v>168608.32</v>
      </c>
      <c r="H7" s="30">
        <f t="shared" si="0"/>
        <v>148760.93</v>
      </c>
      <c r="I7" s="30">
        <f t="shared" si="0"/>
        <v>132745.53999999998</v>
      </c>
      <c r="J7" s="30">
        <f t="shared" si="0"/>
        <v>116562.14999999998</v>
      </c>
      <c r="K7" s="30">
        <f t="shared" si="0"/>
        <v>100210.75999999998</v>
      </c>
      <c r="L7" s="30">
        <f t="shared" si="0"/>
        <v>79691.36999999998</v>
      </c>
      <c r="M7" s="30">
        <f t="shared" si="0"/>
        <v>60503.97999999998</v>
      </c>
      <c r="N7" s="49">
        <f>+B7</f>
        <v>96079.59</v>
      </c>
      <c r="O7" s="74"/>
      <c r="P7" s="82"/>
    </row>
    <row r="8" spans="1:16" ht="1.5" customHeight="1">
      <c r="A8" s="31"/>
      <c r="B8" s="5"/>
      <c r="C8" s="5"/>
      <c r="D8" s="5"/>
      <c r="E8" s="5"/>
      <c r="F8" s="5"/>
      <c r="G8" s="13"/>
      <c r="H8" s="19"/>
      <c r="I8" s="19"/>
      <c r="J8" s="19"/>
      <c r="K8" s="19"/>
      <c r="L8" s="19"/>
      <c r="M8" s="19"/>
      <c r="N8" s="31"/>
      <c r="O8" s="74"/>
      <c r="P8" s="82"/>
    </row>
    <row r="9" spans="1:16" ht="12.75">
      <c r="A9" s="26" t="s">
        <v>17</v>
      </c>
      <c r="B9" s="14" t="s">
        <v>35</v>
      </c>
      <c r="C9" s="14"/>
      <c r="D9" s="14"/>
      <c r="E9" s="14"/>
      <c r="F9" s="14"/>
      <c r="G9" s="32"/>
      <c r="H9" s="33"/>
      <c r="I9" s="33"/>
      <c r="J9" s="33"/>
      <c r="K9" s="33"/>
      <c r="L9" s="33"/>
      <c r="M9" s="33"/>
      <c r="N9" s="50"/>
      <c r="O9" s="74"/>
      <c r="P9" s="82"/>
    </row>
    <row r="10" spans="1:16" ht="12.75">
      <c r="A10" s="31" t="s">
        <v>36</v>
      </c>
      <c r="B10" s="34">
        <f>+Original!B13+Original!B31+Original!B35</f>
        <v>0</v>
      </c>
      <c r="C10" s="34">
        <f>+Original!C13+Original!C31+Original!C35</f>
        <v>0</v>
      </c>
      <c r="D10" s="34">
        <f>+Original!D13+Original!D31+Original!D35</f>
        <v>0</v>
      </c>
      <c r="E10" s="34">
        <f>+Original!F13+Original!F31+Original!F35</f>
        <v>0</v>
      </c>
      <c r="F10" s="34">
        <f>+Original!G13+Original!G31+Original!G35</f>
        <v>2500</v>
      </c>
      <c r="G10" s="34">
        <f>+Original!H13+Original!H31+Original!H35</f>
        <v>0</v>
      </c>
      <c r="H10" s="34">
        <f>+Original!I13+Original!I31+Original!I35</f>
        <v>0</v>
      </c>
      <c r="I10" s="34">
        <f>+Original!J13+Original!J31+Original!J35</f>
        <v>0</v>
      </c>
      <c r="J10" s="34">
        <f>+Original!K13+Original!K31+Original!K35</f>
        <v>0</v>
      </c>
      <c r="K10" s="34">
        <f>+Original!L13+Original!L31+Original!L35</f>
        <v>0</v>
      </c>
      <c r="L10" s="34">
        <f>+Original!M13+Original!N30+Original!M35</f>
        <v>2500</v>
      </c>
      <c r="M10" s="34">
        <f>+Original!N13+Original!N31+Original!N35</f>
        <v>0</v>
      </c>
      <c r="N10" s="51">
        <f aca="true" t="shared" si="1" ref="N10:N19">SUM(B10:M10)</f>
        <v>5000</v>
      </c>
      <c r="O10" s="76">
        <f aca="true" t="shared" si="2" ref="O10:O19">+N10/$N$22</f>
        <v>0.020530719088436074</v>
      </c>
      <c r="P10" s="83" t="s">
        <v>73</v>
      </c>
    </row>
    <row r="11" spans="1:16" ht="12.75">
      <c r="A11" s="31" t="s">
        <v>71</v>
      </c>
      <c r="B11" s="34">
        <f>+Original!B14</f>
        <v>13316</v>
      </c>
      <c r="C11" s="34">
        <f>+Original!C14</f>
        <v>13558.76</v>
      </c>
      <c r="D11" s="34">
        <f>+Original!D14</f>
        <v>13641.68</v>
      </c>
      <c r="E11" s="34">
        <f>+Original!F14</f>
        <v>13641.68</v>
      </c>
      <c r="F11" s="34">
        <f>+Original!G14</f>
        <v>13818</v>
      </c>
      <c r="G11" s="34">
        <f>+Original!H14</f>
        <v>13986</v>
      </c>
      <c r="H11" s="34">
        <f>+Original!I14</f>
        <v>14154</v>
      </c>
      <c r="I11" s="34">
        <f>+Original!J14</f>
        <v>14322</v>
      </c>
      <c r="J11" s="34">
        <f>+Original!K14</f>
        <v>14490</v>
      </c>
      <c r="K11" s="34">
        <f>+Original!L14</f>
        <v>14658</v>
      </c>
      <c r="L11" s="34">
        <f>+Original!M14</f>
        <v>14826</v>
      </c>
      <c r="M11" s="34">
        <f>+Original!N14</f>
        <v>15000</v>
      </c>
      <c r="N11" s="51">
        <f t="shared" si="1"/>
        <v>169412.12</v>
      </c>
      <c r="O11" s="76">
        <f t="shared" si="2"/>
        <v>0.6956305291792845</v>
      </c>
      <c r="P11" s="83" t="s">
        <v>73</v>
      </c>
    </row>
    <row r="12" spans="1:16" ht="12.75">
      <c r="A12" s="31" t="s">
        <v>37</v>
      </c>
      <c r="B12" s="34">
        <f>SUM(Original!B25:B28)</f>
        <v>0</v>
      </c>
      <c r="C12" s="34">
        <f>SUM(Original!C25:C28)</f>
        <v>0</v>
      </c>
      <c r="D12" s="34">
        <f>SUM(Original!D25:D28)</f>
        <v>0</v>
      </c>
      <c r="E12" s="34">
        <f>SUM(Original!F25:F28)</f>
        <v>20000</v>
      </c>
      <c r="F12" s="34">
        <f>SUM(Original!G25:G28)</f>
        <v>0</v>
      </c>
      <c r="G12" s="34">
        <f>SUM(Original!H25:H28)</f>
        <v>0</v>
      </c>
      <c r="H12" s="34">
        <f>SUM(Original!I25:I28)</f>
        <v>0</v>
      </c>
      <c r="I12" s="34">
        <f>SUM(Original!J25:J28)</f>
        <v>0</v>
      </c>
      <c r="J12" s="34">
        <f>SUM(Original!K25:K28)</f>
        <v>0</v>
      </c>
      <c r="K12" s="34">
        <f>SUM(Original!L25:L28)</f>
        <v>0</v>
      </c>
      <c r="L12" s="34">
        <f>SUM(Original!M25:M28)</f>
        <v>0</v>
      </c>
      <c r="M12" s="34">
        <f>SUM(Original!N25:N28)</f>
        <v>0</v>
      </c>
      <c r="N12" s="51">
        <f t="shared" si="1"/>
        <v>20000</v>
      </c>
      <c r="O12" s="76">
        <f t="shared" si="2"/>
        <v>0.0821228763537443</v>
      </c>
      <c r="P12" s="83" t="s">
        <v>74</v>
      </c>
    </row>
    <row r="13" spans="1:16" ht="12.75">
      <c r="A13" s="31" t="s">
        <v>38</v>
      </c>
      <c r="B13" s="34">
        <f>+Original!B17+Original!B29</f>
        <v>1198.5700000000002</v>
      </c>
      <c r="C13" s="34">
        <f>+Original!C17+Original!C29</f>
        <v>1828.8899999999999</v>
      </c>
      <c r="D13" s="34">
        <f>+Original!D17+Original!D29</f>
        <v>681.64</v>
      </c>
      <c r="E13" s="34">
        <f>+Original!F17+Original!F29</f>
        <v>2226.35</v>
      </c>
      <c r="F13" s="34">
        <f>+Original!G17+Original!G29</f>
        <v>1261.3899999999999</v>
      </c>
      <c r="G13" s="34">
        <f>+Original!H17+Original!H29</f>
        <v>1261.3899999999999</v>
      </c>
      <c r="H13" s="34">
        <f>+Original!I17+Original!I29</f>
        <v>1261.3899999999999</v>
      </c>
      <c r="I13" s="34">
        <f>+Original!J17+Original!J29</f>
        <v>1261.3899999999999</v>
      </c>
      <c r="J13" s="34">
        <f>+Original!K17+Original!K29</f>
        <v>1261.3899999999999</v>
      </c>
      <c r="K13" s="34">
        <f>+Original!L17+Original!L29</f>
        <v>1261.3899999999999</v>
      </c>
      <c r="L13" s="34">
        <f>+Original!M17+Original!M29</f>
        <v>1261.3899999999999</v>
      </c>
      <c r="M13" s="34">
        <f>+Original!N17+Original!N29</f>
        <v>1261.3899999999999</v>
      </c>
      <c r="N13" s="51">
        <f t="shared" si="1"/>
        <v>16026.569999999996</v>
      </c>
      <c r="O13" s="76">
        <f t="shared" si="2"/>
        <v>0.06580740132423137</v>
      </c>
      <c r="P13" s="83" t="s">
        <v>74</v>
      </c>
    </row>
    <row r="14" spans="1:16" ht="12.75">
      <c r="A14" s="31" t="s">
        <v>39</v>
      </c>
      <c r="B14" s="34">
        <f>+Original!B23</f>
        <v>0</v>
      </c>
      <c r="C14" s="34">
        <f>+Original!C23</f>
        <v>0</v>
      </c>
      <c r="D14" s="34">
        <f>+Original!D23</f>
        <v>0</v>
      </c>
      <c r="E14" s="34">
        <f>+Original!F23</f>
        <v>0</v>
      </c>
      <c r="F14" s="34">
        <f>+Original!G23</f>
        <v>0</v>
      </c>
      <c r="G14" s="35">
        <f>+Original!H23</f>
        <v>0</v>
      </c>
      <c r="H14" s="35">
        <f>+Original!I23</f>
        <v>0</v>
      </c>
      <c r="I14" s="35">
        <f>+Original!J23</f>
        <v>0</v>
      </c>
      <c r="J14" s="35">
        <f>+Original!K23</f>
        <v>0</v>
      </c>
      <c r="K14" s="35">
        <f>+Original!L23</f>
        <v>0</v>
      </c>
      <c r="L14" s="35">
        <f>+Original!M23</f>
        <v>0</v>
      </c>
      <c r="M14" s="35">
        <f>+Original!N23</f>
        <v>0</v>
      </c>
      <c r="N14" s="51">
        <f t="shared" si="1"/>
        <v>0</v>
      </c>
      <c r="O14" s="76">
        <f t="shared" si="2"/>
        <v>0</v>
      </c>
      <c r="P14" s="83" t="s">
        <v>75</v>
      </c>
    </row>
    <row r="15" spans="1:16" ht="12.75">
      <c r="A15" s="31" t="s">
        <v>40</v>
      </c>
      <c r="B15" s="34">
        <f>+Original!B24+Original!B36</f>
        <v>440</v>
      </c>
      <c r="C15" s="34">
        <f>+Original!C24+Original!C36</f>
        <v>153.19</v>
      </c>
      <c r="D15" s="34">
        <f>+Original!D24+Original!D36</f>
        <v>0</v>
      </c>
      <c r="E15" s="34">
        <f>+Original!F24+Original!F36</f>
        <v>0</v>
      </c>
      <c r="F15" s="34">
        <f>+Original!G24+Original!G36</f>
        <v>0</v>
      </c>
      <c r="G15" s="34">
        <f>+Original!H24+Original!H36</f>
        <v>0</v>
      </c>
      <c r="H15" s="34">
        <f>+Original!I24+Original!I36</f>
        <v>0</v>
      </c>
      <c r="I15" s="34">
        <f>+Original!J24+Original!J36</f>
        <v>0</v>
      </c>
      <c r="J15" s="34">
        <f>+Original!K24+Original!K36</f>
        <v>0</v>
      </c>
      <c r="K15" s="34">
        <f>+Original!L24+Original!L36</f>
        <v>0</v>
      </c>
      <c r="L15" s="34">
        <f>+Original!M24+Original!M36</f>
        <v>0</v>
      </c>
      <c r="M15" s="34">
        <f>+Original!N24+Original!N36</f>
        <v>4000</v>
      </c>
      <c r="N15" s="51">
        <f t="shared" si="1"/>
        <v>4593.1900000000005</v>
      </c>
      <c r="O15" s="76">
        <f t="shared" si="2"/>
        <v>0.018860298721962737</v>
      </c>
      <c r="P15" s="83" t="s">
        <v>73</v>
      </c>
    </row>
    <row r="16" spans="1:16" ht="12.75">
      <c r="A16" s="16" t="s">
        <v>23</v>
      </c>
      <c r="B16" s="34">
        <f>+Original!B32</f>
        <v>505.62</v>
      </c>
      <c r="C16" s="34">
        <f>+Original!C32</f>
        <v>1000</v>
      </c>
      <c r="D16" s="34">
        <f>+Original!D32</f>
        <v>0</v>
      </c>
      <c r="E16" s="34">
        <f>+Original!F32</f>
        <v>0</v>
      </c>
      <c r="F16" s="34">
        <f>+Original!G32</f>
        <v>0</v>
      </c>
      <c r="G16" s="34">
        <f>+Original!H32</f>
        <v>0</v>
      </c>
      <c r="H16" s="34">
        <f>+Original!I32</f>
        <v>0</v>
      </c>
      <c r="I16" s="34">
        <f>+Original!J32</f>
        <v>0</v>
      </c>
      <c r="J16" s="34">
        <f>+Original!K32</f>
        <v>0</v>
      </c>
      <c r="K16" s="34">
        <f>+Original!L32</f>
        <v>0</v>
      </c>
      <c r="L16" s="34">
        <f>+Original!M32</f>
        <v>0</v>
      </c>
      <c r="M16" s="35">
        <f>+Original!N32</f>
        <v>0</v>
      </c>
      <c r="N16" s="51">
        <f t="shared" si="1"/>
        <v>1505.62</v>
      </c>
      <c r="O16" s="76">
        <f t="shared" si="2"/>
        <v>0.006182292254786223</v>
      </c>
      <c r="P16" s="83"/>
    </row>
    <row r="17" spans="1:16" ht="12.75">
      <c r="A17" s="16" t="s">
        <v>24</v>
      </c>
      <c r="B17" s="34">
        <f>+Original!B33</f>
        <v>1000</v>
      </c>
      <c r="C17" s="34">
        <f>+Original!C33</f>
        <v>0</v>
      </c>
      <c r="D17" s="34">
        <f>+Original!D33</f>
        <v>0</v>
      </c>
      <c r="E17" s="34">
        <f>+Original!F33</f>
        <v>2000</v>
      </c>
      <c r="F17" s="34">
        <f>+Original!G33</f>
        <v>2000</v>
      </c>
      <c r="G17" s="34">
        <f>+Original!H33</f>
        <v>2000</v>
      </c>
      <c r="H17" s="34">
        <f>+Original!I33</f>
        <v>2000</v>
      </c>
      <c r="I17" s="34">
        <f>+Original!J33</f>
        <v>2000</v>
      </c>
      <c r="J17" s="34">
        <f>+Original!K33</f>
        <v>2000</v>
      </c>
      <c r="K17" s="34">
        <f>+Original!L33</f>
        <v>2000</v>
      </c>
      <c r="L17" s="34">
        <f>+Original!M33</f>
        <v>2000</v>
      </c>
      <c r="M17" s="34">
        <f>+Original!N33</f>
        <v>2000</v>
      </c>
      <c r="N17" s="51">
        <f t="shared" si="1"/>
        <v>19000</v>
      </c>
      <c r="O17" s="76">
        <f t="shared" si="2"/>
        <v>0.07801673253605708</v>
      </c>
      <c r="P17" s="83" t="s">
        <v>73</v>
      </c>
    </row>
    <row r="18" spans="1:16" ht="12.75">
      <c r="A18" s="16" t="s">
        <v>25</v>
      </c>
      <c r="B18" s="34">
        <f>+Original!B34</f>
        <v>0</v>
      </c>
      <c r="C18" s="34">
        <f>+Original!C34</f>
        <v>0</v>
      </c>
      <c r="D18" s="34">
        <f>+Original!D34</f>
        <v>0</v>
      </c>
      <c r="E18" s="34">
        <f>+Original!F34</f>
        <v>0</v>
      </c>
      <c r="F18" s="34">
        <f>+Original!G34</f>
        <v>0</v>
      </c>
      <c r="G18" s="34">
        <f>+Original!H34</f>
        <v>0</v>
      </c>
      <c r="H18" s="34">
        <f>+Original!I34</f>
        <v>0</v>
      </c>
      <c r="I18" s="34">
        <f>+Original!J34</f>
        <v>0</v>
      </c>
      <c r="J18" s="34">
        <f>+Original!K34</f>
        <v>0</v>
      </c>
      <c r="K18" s="34">
        <f>+Original!L34</f>
        <v>0</v>
      </c>
      <c r="L18" s="34">
        <f>+Original!M34</f>
        <v>0</v>
      </c>
      <c r="M18" s="34">
        <f>+Original!N34</f>
        <v>0</v>
      </c>
      <c r="N18" s="51">
        <f t="shared" si="1"/>
        <v>0</v>
      </c>
      <c r="O18" s="76">
        <f t="shared" si="2"/>
        <v>0</v>
      </c>
      <c r="P18" s="83" t="s">
        <v>73</v>
      </c>
    </row>
    <row r="19" spans="1:16" ht="12.75">
      <c r="A19" s="13" t="s">
        <v>49</v>
      </c>
      <c r="B19" s="34">
        <f>+Original!B30</f>
        <v>0</v>
      </c>
      <c r="C19" s="34">
        <f>+Original!C30</f>
        <v>0</v>
      </c>
      <c r="D19" s="34">
        <f>+Original!D30</f>
        <v>0</v>
      </c>
      <c r="E19" s="34">
        <f>+Original!F30</f>
        <v>0</v>
      </c>
      <c r="F19" s="34">
        <f>+Original!G30</f>
        <v>0</v>
      </c>
      <c r="G19" s="34">
        <f>+Original!H30</f>
        <v>4000</v>
      </c>
      <c r="H19" s="34">
        <f>+Original!I30</f>
        <v>0</v>
      </c>
      <c r="I19" s="34">
        <f>+Original!J30</f>
        <v>0</v>
      </c>
      <c r="J19" s="34">
        <f>+Original!K30</f>
        <v>0</v>
      </c>
      <c r="K19" s="34">
        <f>+Original!L30</f>
        <v>4000</v>
      </c>
      <c r="L19" s="34">
        <f>+Original!M30</f>
        <v>0</v>
      </c>
      <c r="M19" s="34">
        <f>+Original!N30</f>
        <v>0</v>
      </c>
      <c r="N19" s="51">
        <f t="shared" si="1"/>
        <v>8000</v>
      </c>
      <c r="O19" s="76">
        <f t="shared" si="2"/>
        <v>0.032849150541497715</v>
      </c>
      <c r="P19" s="83" t="s">
        <v>75</v>
      </c>
    </row>
    <row r="20" spans="1:16" ht="12.75">
      <c r="A20" s="16"/>
      <c r="B20" s="15"/>
      <c r="C20" s="15"/>
      <c r="D20" s="15"/>
      <c r="E20" s="15"/>
      <c r="F20" s="15"/>
      <c r="G20" s="36"/>
      <c r="H20" s="36"/>
      <c r="I20" s="36"/>
      <c r="J20" s="36"/>
      <c r="K20" s="36"/>
      <c r="L20" s="33"/>
      <c r="M20" s="33"/>
      <c r="N20" s="50"/>
      <c r="O20" s="74"/>
      <c r="P20" s="82"/>
    </row>
    <row r="21" spans="1:16" ht="2.25" customHeight="1" thickBot="1">
      <c r="A21" s="31"/>
      <c r="B21" s="14"/>
      <c r="C21" s="14"/>
      <c r="D21" s="14"/>
      <c r="E21" s="14"/>
      <c r="F21" s="14"/>
      <c r="G21" s="32"/>
      <c r="H21" s="32"/>
      <c r="I21" s="32"/>
      <c r="J21" s="32"/>
      <c r="K21" s="32"/>
      <c r="L21" s="15"/>
      <c r="M21" s="36"/>
      <c r="N21" s="52"/>
      <c r="O21" s="77"/>
      <c r="P21" s="82"/>
    </row>
    <row r="22" spans="1:16" ht="13.5" thickBot="1">
      <c r="A22" s="17" t="s">
        <v>27</v>
      </c>
      <c r="B22" s="18">
        <f aca="true" t="shared" si="3" ref="B22:O22">SUM(B10:B21)</f>
        <v>16460.190000000002</v>
      </c>
      <c r="C22" s="18">
        <f t="shared" si="3"/>
        <v>16540.84</v>
      </c>
      <c r="D22" s="18">
        <f t="shared" si="3"/>
        <v>14323.32</v>
      </c>
      <c r="E22" s="18">
        <f t="shared" si="3"/>
        <v>37868.03</v>
      </c>
      <c r="F22" s="18">
        <f t="shared" si="3"/>
        <v>19579.39</v>
      </c>
      <c r="G22" s="37">
        <f t="shared" si="3"/>
        <v>21247.39</v>
      </c>
      <c r="H22" s="37">
        <f t="shared" si="3"/>
        <v>17415.39</v>
      </c>
      <c r="I22" s="37">
        <f t="shared" si="3"/>
        <v>17583.39</v>
      </c>
      <c r="J22" s="37">
        <f t="shared" si="3"/>
        <v>17751.39</v>
      </c>
      <c r="K22" s="37">
        <f t="shared" si="3"/>
        <v>21919.39</v>
      </c>
      <c r="L22" s="37">
        <f t="shared" si="3"/>
        <v>20587.39</v>
      </c>
      <c r="M22" s="37">
        <f t="shared" si="3"/>
        <v>22261.39</v>
      </c>
      <c r="N22" s="53">
        <f t="shared" si="3"/>
        <v>243537.5</v>
      </c>
      <c r="O22" s="78">
        <f t="shared" si="3"/>
        <v>0.9999999999999999</v>
      </c>
      <c r="P22" s="82"/>
    </row>
    <row r="23" spans="1:16" ht="12.75">
      <c r="A23" s="31"/>
      <c r="B23" s="14"/>
      <c r="C23" s="14"/>
      <c r="D23" s="14"/>
      <c r="E23" s="14"/>
      <c r="F23" s="14"/>
      <c r="G23" s="32"/>
      <c r="H23" s="32"/>
      <c r="I23" s="32"/>
      <c r="J23" s="32"/>
      <c r="K23" s="32"/>
      <c r="L23" s="32"/>
      <c r="M23" s="32"/>
      <c r="N23" s="50"/>
      <c r="O23" s="79"/>
      <c r="P23" s="82"/>
    </row>
    <row r="24" spans="1:16" ht="12.75">
      <c r="A24" s="31" t="s">
        <v>28</v>
      </c>
      <c r="B24" s="34">
        <f>+Original!B41</f>
        <v>22.25</v>
      </c>
      <c r="C24" s="34">
        <f>+Original!C41</f>
        <v>3256</v>
      </c>
      <c r="D24" s="34">
        <f>+Original!D41</f>
        <v>222.25</v>
      </c>
      <c r="E24" s="34">
        <f>+Original!F41</f>
        <v>1400</v>
      </c>
      <c r="F24" s="34">
        <f>+Original!G41</f>
        <v>1400</v>
      </c>
      <c r="G24" s="34">
        <f>+Original!H41</f>
        <v>1400</v>
      </c>
      <c r="H24" s="34">
        <f>+Original!I41</f>
        <v>1400</v>
      </c>
      <c r="I24" s="34">
        <f>+Original!J41</f>
        <v>1400</v>
      </c>
      <c r="J24" s="34">
        <f>+Original!K41</f>
        <v>1400</v>
      </c>
      <c r="K24" s="34">
        <f>+Original!L41</f>
        <v>1400</v>
      </c>
      <c r="L24" s="34">
        <f>+Original!M41</f>
        <v>1400</v>
      </c>
      <c r="M24" s="35">
        <f>+Original!N41</f>
        <v>1400</v>
      </c>
      <c r="N24" s="51">
        <f aca="true" t="shared" si="4" ref="N24:N31">SUM(B24:M24)</f>
        <v>16100.5</v>
      </c>
      <c r="O24" s="76">
        <f aca="true" t="shared" si="5" ref="O24:O30">+N24/$N$32</f>
        <v>0.08605268291640054</v>
      </c>
      <c r="P24" s="82"/>
    </row>
    <row r="25" spans="1:16" ht="12.75" hidden="1">
      <c r="A25" s="13" t="s">
        <v>44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5"/>
      <c r="N25" s="51">
        <f t="shared" si="4"/>
        <v>0</v>
      </c>
      <c r="O25" s="76">
        <f t="shared" si="5"/>
        <v>0</v>
      </c>
      <c r="P25" s="82"/>
    </row>
    <row r="26" spans="1:16" ht="13.5" thickBot="1">
      <c r="A26" s="13" t="s">
        <v>45</v>
      </c>
      <c r="B26" s="34">
        <f>+Original!B42</f>
        <v>0</v>
      </c>
      <c r="C26" s="34">
        <f>+Original!C42</f>
        <v>0</v>
      </c>
      <c r="D26" s="34">
        <f>+Original!D42</f>
        <v>0</v>
      </c>
      <c r="E26" s="34">
        <f>+Original!F42</f>
        <v>171000</v>
      </c>
      <c r="F26" s="34">
        <f>+Original!G42</f>
        <v>0</v>
      </c>
      <c r="G26" s="34"/>
      <c r="H26" s="34"/>
      <c r="I26" s="34"/>
      <c r="J26" s="34"/>
      <c r="K26" s="34"/>
      <c r="L26" s="34"/>
      <c r="M26" s="35"/>
      <c r="N26" s="51">
        <f t="shared" si="4"/>
        <v>171000</v>
      </c>
      <c r="O26" s="76">
        <f t="shared" si="5"/>
        <v>0.9139473170835994</v>
      </c>
      <c r="P26" s="82"/>
    </row>
    <row r="27" spans="1:16" ht="13.5" hidden="1" thickBot="1">
      <c r="A27" s="13" t="s">
        <v>51</v>
      </c>
      <c r="B27" s="34"/>
      <c r="C27" s="34">
        <f>+Original!C43</f>
        <v>0</v>
      </c>
      <c r="D27" s="34">
        <f>+Original!D43</f>
        <v>0</v>
      </c>
      <c r="E27" s="34">
        <f>+Original!F43</f>
        <v>0</v>
      </c>
      <c r="F27" s="34">
        <f>+Original!G43</f>
        <v>0</v>
      </c>
      <c r="G27" s="34"/>
      <c r="H27" s="34"/>
      <c r="I27" s="34"/>
      <c r="J27" s="34"/>
      <c r="K27" s="34"/>
      <c r="L27" s="34"/>
      <c r="M27" s="34">
        <f>+Original!N43</f>
        <v>0</v>
      </c>
      <c r="N27" s="51">
        <f t="shared" si="4"/>
        <v>0</v>
      </c>
      <c r="O27" s="76">
        <f t="shared" si="5"/>
        <v>0</v>
      </c>
      <c r="P27" s="82"/>
    </row>
    <row r="28" spans="1:16" ht="13.5" hidden="1" thickBot="1">
      <c r="A28" s="54" t="s">
        <v>48</v>
      </c>
      <c r="B28" s="34"/>
      <c r="C28" s="34"/>
      <c r="E28" s="34"/>
      <c r="F28" s="34"/>
      <c r="G28" s="34"/>
      <c r="H28" s="34"/>
      <c r="I28" s="34"/>
      <c r="J28" s="34"/>
      <c r="K28" s="34"/>
      <c r="L28" s="34"/>
      <c r="M28" s="35">
        <f>+Original!N44</f>
        <v>0</v>
      </c>
      <c r="N28" s="51">
        <f t="shared" si="4"/>
        <v>0</v>
      </c>
      <c r="O28" s="76">
        <f t="shared" si="5"/>
        <v>0</v>
      </c>
      <c r="P28" s="82"/>
    </row>
    <row r="29" spans="1:16" ht="13.5" hidden="1" thickBot="1">
      <c r="A29" s="13" t="s">
        <v>29</v>
      </c>
      <c r="B29" s="34">
        <f>+Original!B45</f>
        <v>0</v>
      </c>
      <c r="C29" s="34"/>
      <c r="D29" s="34"/>
      <c r="E29" s="34"/>
      <c r="F29" s="34"/>
      <c r="G29" s="34"/>
      <c r="H29" s="34"/>
      <c r="I29" s="34"/>
      <c r="J29" s="34"/>
      <c r="K29" s="34">
        <f>+Original!L45</f>
        <v>0</v>
      </c>
      <c r="L29" s="34"/>
      <c r="M29" s="35"/>
      <c r="N29" s="51">
        <f t="shared" si="4"/>
        <v>0</v>
      </c>
      <c r="O29" s="76">
        <f t="shared" si="5"/>
        <v>0</v>
      </c>
      <c r="P29" s="82"/>
    </row>
    <row r="30" spans="1:16" ht="13.5" hidden="1" thickBot="1">
      <c r="A30" s="38" t="s">
        <v>30</v>
      </c>
      <c r="B30" s="34">
        <f>+Original!B46</f>
        <v>0</v>
      </c>
      <c r="C30" s="34">
        <f>+Original!C46</f>
        <v>0</v>
      </c>
      <c r="D30" s="34">
        <f>+Original!D46</f>
        <v>0</v>
      </c>
      <c r="E30" s="34">
        <f>+Original!F46</f>
        <v>0</v>
      </c>
      <c r="F30" s="34">
        <f>+Original!G46</f>
        <v>0</v>
      </c>
      <c r="G30" s="34">
        <f>+Original!H46</f>
        <v>0</v>
      </c>
      <c r="H30" s="34">
        <f>+Original!I46</f>
        <v>0</v>
      </c>
      <c r="I30" s="34">
        <f>+Original!J46</f>
        <v>0</v>
      </c>
      <c r="J30" s="34">
        <f>+Original!K46</f>
        <v>0</v>
      </c>
      <c r="K30" s="34">
        <f>+Original!L46</f>
        <v>0</v>
      </c>
      <c r="L30" s="34">
        <f>+Original!M46</f>
        <v>0</v>
      </c>
      <c r="M30" s="34">
        <f>+Original!N46</f>
        <v>0</v>
      </c>
      <c r="N30" s="51">
        <f t="shared" si="4"/>
        <v>0</v>
      </c>
      <c r="O30" s="76">
        <f t="shared" si="5"/>
        <v>0</v>
      </c>
      <c r="P30" s="82"/>
    </row>
    <row r="31" spans="1:16" ht="12" customHeight="1" hidden="1" thickBot="1">
      <c r="A31" s="31"/>
      <c r="B31" s="14"/>
      <c r="C31" s="14"/>
      <c r="D31" s="14"/>
      <c r="E31" s="14"/>
      <c r="F31" s="14"/>
      <c r="G31" s="32"/>
      <c r="H31" s="32"/>
      <c r="I31" s="32"/>
      <c r="J31" s="32"/>
      <c r="K31" s="32"/>
      <c r="L31" s="32"/>
      <c r="M31" s="32"/>
      <c r="N31" s="51">
        <f t="shared" si="4"/>
        <v>0</v>
      </c>
      <c r="O31" s="80"/>
      <c r="P31" s="82"/>
    </row>
    <row r="32" spans="1:16" ht="15" customHeight="1" thickBot="1">
      <c r="A32" s="17" t="s">
        <v>31</v>
      </c>
      <c r="B32" s="18">
        <f aca="true" t="shared" si="6" ref="B32:O32">SUM(B24:B31)</f>
        <v>22.25</v>
      </c>
      <c r="C32" s="39">
        <f t="shared" si="6"/>
        <v>3256</v>
      </c>
      <c r="D32" s="18">
        <f t="shared" si="6"/>
        <v>222.25</v>
      </c>
      <c r="E32" s="39">
        <f>SUM(E24:E31)</f>
        <v>172400</v>
      </c>
      <c r="F32" s="39">
        <f t="shared" si="6"/>
        <v>1400</v>
      </c>
      <c r="G32" s="37">
        <f t="shared" si="6"/>
        <v>1400</v>
      </c>
      <c r="H32" s="37">
        <f t="shared" si="6"/>
        <v>1400</v>
      </c>
      <c r="I32" s="37">
        <f t="shared" si="6"/>
        <v>1400</v>
      </c>
      <c r="J32" s="37">
        <f t="shared" si="6"/>
        <v>1400</v>
      </c>
      <c r="K32" s="37">
        <f t="shared" si="6"/>
        <v>1400</v>
      </c>
      <c r="L32" s="37">
        <f t="shared" si="6"/>
        <v>1400</v>
      </c>
      <c r="M32" s="37">
        <f t="shared" si="6"/>
        <v>1400</v>
      </c>
      <c r="N32" s="40">
        <f t="shared" si="6"/>
        <v>187100.5</v>
      </c>
      <c r="O32" s="81">
        <f t="shared" si="6"/>
        <v>1</v>
      </c>
      <c r="P32" s="82"/>
    </row>
    <row r="33" spans="1:16" ht="1.5" customHeight="1" thickBot="1">
      <c r="A33" s="31"/>
      <c r="B33" s="14"/>
      <c r="C33" s="14"/>
      <c r="D33" s="14"/>
      <c r="E33" s="14"/>
      <c r="F33" s="14"/>
      <c r="G33" s="32"/>
      <c r="H33" s="32"/>
      <c r="I33" s="32"/>
      <c r="J33" s="32"/>
      <c r="K33" s="32"/>
      <c r="L33" s="32"/>
      <c r="M33" s="32"/>
      <c r="N33" s="23"/>
      <c r="P33" s="82"/>
    </row>
    <row r="34" spans="1:15" ht="13.5" thickBot="1">
      <c r="A34" s="10" t="s">
        <v>41</v>
      </c>
      <c r="B34" s="41">
        <f aca="true" t="shared" si="7" ref="B34:N34">+B7-B22+B32</f>
        <v>79641.65</v>
      </c>
      <c r="C34" s="42">
        <f t="shared" si="7"/>
        <v>66356.81</v>
      </c>
      <c r="D34" s="42">
        <f t="shared" si="7"/>
        <v>52255.74</v>
      </c>
      <c r="E34" s="42">
        <f t="shared" si="7"/>
        <v>186787.71</v>
      </c>
      <c r="F34" s="42">
        <f t="shared" si="7"/>
        <v>168608.32</v>
      </c>
      <c r="G34" s="42">
        <f t="shared" si="7"/>
        <v>148760.93</v>
      </c>
      <c r="H34" s="42">
        <f t="shared" si="7"/>
        <v>132745.53999999998</v>
      </c>
      <c r="I34" s="42">
        <f t="shared" si="7"/>
        <v>116562.14999999998</v>
      </c>
      <c r="J34" s="42">
        <f t="shared" si="7"/>
        <v>100210.75999999998</v>
      </c>
      <c r="K34" s="42">
        <f t="shared" si="7"/>
        <v>79691.36999999998</v>
      </c>
      <c r="L34" s="42">
        <f t="shared" si="7"/>
        <v>60503.97999999998</v>
      </c>
      <c r="M34" s="43">
        <f t="shared" si="7"/>
        <v>39642.58999999998</v>
      </c>
      <c r="N34" s="42">
        <f t="shared" si="7"/>
        <v>39642.59</v>
      </c>
      <c r="O34" s="44"/>
    </row>
    <row r="35" spans="2:14" s="19" customFormat="1" ht="12.75">
      <c r="B35" s="33">
        <f>+Original!B50</f>
        <v>79641.65</v>
      </c>
      <c r="C35" s="33">
        <f>+Original!C50</f>
        <v>66356.81</v>
      </c>
      <c r="D35" s="33">
        <f>+Original!D50</f>
        <v>52255.74</v>
      </c>
      <c r="E35" s="33">
        <f>+Original!F50</f>
        <v>186787.71</v>
      </c>
      <c r="F35" s="33">
        <f>+Original!G50</f>
        <v>168608.32</v>
      </c>
      <c r="G35" s="33">
        <f>+Original!H50</f>
        <v>148760.93</v>
      </c>
      <c r="H35" s="33">
        <f>+Original!I50</f>
        <v>132745.53999999998</v>
      </c>
      <c r="I35" s="33">
        <f>+Original!J50</f>
        <v>116562.14999999998</v>
      </c>
      <c r="J35" s="33">
        <f>+Original!K50</f>
        <v>100210.75999999998</v>
      </c>
      <c r="K35" s="33">
        <f>+Original!L50</f>
        <v>79691.36999999998</v>
      </c>
      <c r="L35" s="33">
        <f>+Original!M50</f>
        <v>60503.97999999998</v>
      </c>
      <c r="M35" s="33">
        <f>+Original!N50</f>
        <v>31642.589999999982</v>
      </c>
      <c r="N35" s="33">
        <f>+Original!O50</f>
        <v>31642.58999999994</v>
      </c>
    </row>
    <row r="36" spans="2:14" ht="12.75">
      <c r="B36" s="55">
        <f aca="true" t="shared" si="8" ref="B36:K36">+B34-B35</f>
        <v>0</v>
      </c>
      <c r="C36" s="55">
        <f t="shared" si="8"/>
        <v>0</v>
      </c>
      <c r="D36" s="55">
        <f t="shared" si="8"/>
        <v>0</v>
      </c>
      <c r="E36" s="55">
        <f t="shared" si="8"/>
        <v>0</v>
      </c>
      <c r="F36" s="55">
        <f t="shared" si="8"/>
        <v>0</v>
      </c>
      <c r="G36" s="55">
        <f t="shared" si="8"/>
        <v>0</v>
      </c>
      <c r="H36" s="55">
        <f t="shared" si="8"/>
        <v>0</v>
      </c>
      <c r="I36" s="55">
        <f t="shared" si="8"/>
        <v>0</v>
      </c>
      <c r="J36" s="55">
        <f t="shared" si="8"/>
        <v>0</v>
      </c>
      <c r="K36" s="55">
        <f t="shared" si="8"/>
        <v>0</v>
      </c>
      <c r="M36" s="12"/>
      <c r="N36" s="56">
        <f>+N34-M34</f>
        <v>0</v>
      </c>
    </row>
    <row r="37" spans="6:14" ht="12.75">
      <c r="F37" s="12"/>
      <c r="J37" s="58"/>
      <c r="N37" s="56"/>
    </row>
    <row r="38" spans="6:14" ht="12.75">
      <c r="F38" s="58"/>
      <c r="G38" s="58"/>
      <c r="H38" s="58"/>
      <c r="I38" s="58"/>
      <c r="J38" s="68"/>
      <c r="N38" s="57"/>
    </row>
    <row r="39" spans="2:14" ht="12.75">
      <c r="B39" s="55"/>
      <c r="C39" s="55"/>
      <c r="D39" s="55"/>
      <c r="E39" s="55"/>
      <c r="F39" s="55"/>
      <c r="G39" s="55"/>
      <c r="H39" s="55"/>
      <c r="I39" s="55"/>
      <c r="J39" s="55"/>
      <c r="N39" s="33"/>
    </row>
    <row r="40" ht="12.75">
      <c r="N40" s="57"/>
    </row>
    <row r="42" ht="12.75">
      <c r="N42" s="57"/>
    </row>
  </sheetData>
  <sheetProtection/>
  <mergeCells count="2">
    <mergeCell ref="B3:D3"/>
    <mergeCell ref="E3:M3"/>
  </mergeCells>
  <printOptions horizontalCentered="1" verticalCentered="1"/>
  <pageMargins left="0.2" right="0.19" top="0.75" bottom="0.75" header="0.3" footer="0.3"/>
  <pageSetup fitToHeight="1" fitToWidth="1" horizontalDpi="300" verticalDpi="300" orientation="landscape" paperSize="9" scale="8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1"/>
  <sheetViews>
    <sheetView tabSelected="1" zoomScale="80" zoomScaleNormal="80" zoomScalePageLayoutView="0" workbookViewId="0" topLeftCell="A1">
      <selection activeCell="A2" sqref="A2:N2"/>
    </sheetView>
  </sheetViews>
  <sheetFormatPr defaultColWidth="9.140625" defaultRowHeight="12.75"/>
  <cols>
    <col min="1" max="1" width="48.28125" style="60" customWidth="1"/>
    <col min="2" max="4" width="11.57421875" style="60" bestFit="1" customWidth="1"/>
    <col min="5" max="5" width="11.28125" style="60" hidden="1" customWidth="1"/>
    <col min="6" max="6" width="13.7109375" style="60" bestFit="1" customWidth="1"/>
    <col min="7" max="12" width="12.28125" style="60" bestFit="1" customWidth="1"/>
    <col min="13" max="14" width="11.57421875" style="60" bestFit="1" customWidth="1"/>
    <col min="15" max="15" width="12.28125" style="85" hidden="1" customWidth="1"/>
    <col min="16" max="16" width="10.57421875" style="85" hidden="1" customWidth="1"/>
    <col min="17" max="17" width="17.7109375" style="60" hidden="1" customWidth="1"/>
    <col min="18" max="18" width="0" style="60" hidden="1" customWidth="1"/>
    <col min="19" max="19" width="11.28125" style="60" hidden="1" customWidth="1"/>
    <col min="20" max="16384" width="9.140625" style="60" customWidth="1"/>
  </cols>
  <sheetData>
    <row r="1" ht="12.75"/>
    <row r="2" spans="1:14" ht="150" customHeight="1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</row>
    <row r="3" ht="13.5" thickBot="1"/>
    <row r="4" spans="1:18" ht="23.25" customHeight="1" thickBot="1">
      <c r="A4" s="176" t="s">
        <v>117</v>
      </c>
      <c r="B4" s="173"/>
      <c r="C4" s="173"/>
      <c r="D4" s="173"/>
      <c r="E4" s="174"/>
      <c r="F4" s="174"/>
      <c r="G4" s="174"/>
      <c r="H4" s="174"/>
      <c r="I4" s="174"/>
      <c r="J4" s="174"/>
      <c r="K4" s="174"/>
      <c r="L4" s="174"/>
      <c r="M4" s="174"/>
      <c r="N4" s="175"/>
      <c r="O4" s="160"/>
      <c r="P4" s="105"/>
      <c r="Q4" s="140"/>
      <c r="R4" s="83"/>
    </row>
    <row r="5" spans="1:18" ht="24" customHeight="1" thickBot="1">
      <c r="A5" s="176"/>
      <c r="B5" s="214" t="s">
        <v>101</v>
      </c>
      <c r="C5" s="215"/>
      <c r="D5" s="216"/>
      <c r="E5" s="177"/>
      <c r="F5" s="218" t="s">
        <v>116</v>
      </c>
      <c r="G5" s="219"/>
      <c r="H5" s="219"/>
      <c r="I5" s="219"/>
      <c r="J5" s="219"/>
      <c r="K5" s="219"/>
      <c r="L5" s="219"/>
      <c r="M5" s="219"/>
      <c r="N5" s="220"/>
      <c r="O5" s="161"/>
      <c r="P5" s="108"/>
      <c r="Q5" s="140"/>
      <c r="R5" s="83"/>
    </row>
    <row r="6" spans="1:18" ht="24.75" customHeight="1">
      <c r="A6" s="178"/>
      <c r="B6" s="179" t="s">
        <v>4</v>
      </c>
      <c r="C6" s="179" t="s">
        <v>5</v>
      </c>
      <c r="D6" s="179" t="s">
        <v>6</v>
      </c>
      <c r="E6" s="179"/>
      <c r="F6" s="221" t="s">
        <v>7</v>
      </c>
      <c r="G6" s="221" t="s">
        <v>8</v>
      </c>
      <c r="H6" s="222" t="s">
        <v>9</v>
      </c>
      <c r="I6" s="221" t="s">
        <v>10</v>
      </c>
      <c r="J6" s="221" t="s">
        <v>11</v>
      </c>
      <c r="K6" s="221" t="s">
        <v>12</v>
      </c>
      <c r="L6" s="222" t="s">
        <v>13</v>
      </c>
      <c r="M6" s="221" t="s">
        <v>14</v>
      </c>
      <c r="N6" s="223" t="s">
        <v>15</v>
      </c>
      <c r="O6" s="162" t="s">
        <v>33</v>
      </c>
      <c r="P6" s="144" t="s">
        <v>34</v>
      </c>
      <c r="Q6" s="140" t="s">
        <v>72</v>
      </c>
      <c r="R6" s="83"/>
    </row>
    <row r="7" spans="1:18" ht="9.75" customHeight="1" thickBot="1">
      <c r="A7" s="180"/>
      <c r="B7" s="181"/>
      <c r="C7" s="181"/>
      <c r="D7" s="181"/>
      <c r="E7" s="181"/>
      <c r="F7" s="224"/>
      <c r="G7" s="224"/>
      <c r="H7" s="225"/>
      <c r="I7" s="224"/>
      <c r="J7" s="224"/>
      <c r="K7" s="224"/>
      <c r="L7" s="225"/>
      <c r="M7" s="224"/>
      <c r="N7" s="226"/>
      <c r="O7" s="163"/>
      <c r="P7" s="108"/>
      <c r="Q7" s="140"/>
      <c r="R7" s="83"/>
    </row>
    <row r="8" spans="1:18" ht="24" customHeight="1" thickBot="1">
      <c r="A8" s="182" t="s">
        <v>105</v>
      </c>
      <c r="B8" s="183">
        <f>+Original!B10</f>
        <v>96079.59</v>
      </c>
      <c r="C8" s="184">
        <f aca="true" t="shared" si="0" ref="C8:N8">+B35</f>
        <v>79641.65</v>
      </c>
      <c r="D8" s="184">
        <f t="shared" si="0"/>
        <v>66356.81</v>
      </c>
      <c r="E8" s="184"/>
      <c r="F8" s="227">
        <f>+D35</f>
        <v>52255.74</v>
      </c>
      <c r="G8" s="227">
        <f t="shared" si="0"/>
        <v>186787.71</v>
      </c>
      <c r="H8" s="228">
        <f t="shared" si="0"/>
        <v>168608.32</v>
      </c>
      <c r="I8" s="228">
        <f t="shared" si="0"/>
        <v>148760.93</v>
      </c>
      <c r="J8" s="228">
        <f t="shared" si="0"/>
        <v>132745.53999999998</v>
      </c>
      <c r="K8" s="228">
        <f t="shared" si="0"/>
        <v>116562.14999999998</v>
      </c>
      <c r="L8" s="228">
        <f t="shared" si="0"/>
        <v>100210.75999999998</v>
      </c>
      <c r="M8" s="228">
        <f t="shared" si="0"/>
        <v>79691.36999999998</v>
      </c>
      <c r="N8" s="229">
        <f t="shared" si="0"/>
        <v>60503.97999999998</v>
      </c>
      <c r="O8" s="164">
        <f>+B8</f>
        <v>96079.59</v>
      </c>
      <c r="P8" s="108"/>
      <c r="Q8" s="140"/>
      <c r="R8" s="83"/>
    </row>
    <row r="9" spans="1:18" ht="1.5" customHeight="1">
      <c r="A9" s="185"/>
      <c r="B9" s="186"/>
      <c r="C9" s="186"/>
      <c r="D9" s="186"/>
      <c r="E9" s="186"/>
      <c r="F9" s="230"/>
      <c r="G9" s="230"/>
      <c r="H9" s="231"/>
      <c r="I9" s="232"/>
      <c r="J9" s="232"/>
      <c r="K9" s="232"/>
      <c r="L9" s="232"/>
      <c r="M9" s="232"/>
      <c r="N9" s="233"/>
      <c r="O9" s="161"/>
      <c r="P9" s="108"/>
      <c r="Q9" s="140"/>
      <c r="R9" s="83"/>
    </row>
    <row r="10" spans="1:18" ht="15.75">
      <c r="A10" s="180" t="s">
        <v>17</v>
      </c>
      <c r="B10" s="187" t="s">
        <v>35</v>
      </c>
      <c r="C10" s="187"/>
      <c r="D10" s="187"/>
      <c r="E10" s="187"/>
      <c r="F10" s="234"/>
      <c r="G10" s="234"/>
      <c r="H10" s="235"/>
      <c r="I10" s="236"/>
      <c r="J10" s="236"/>
      <c r="K10" s="236"/>
      <c r="L10" s="236"/>
      <c r="M10" s="236"/>
      <c r="N10" s="237"/>
      <c r="O10" s="165"/>
      <c r="P10" s="108"/>
      <c r="Q10" s="140"/>
      <c r="R10" s="83"/>
    </row>
    <row r="11" spans="1:18" ht="15.75">
      <c r="A11" s="180"/>
      <c r="B11" s="187"/>
      <c r="C11" s="187"/>
      <c r="D11" s="187"/>
      <c r="E11" s="187"/>
      <c r="F11" s="234"/>
      <c r="G11" s="234"/>
      <c r="H11" s="235"/>
      <c r="I11" s="236"/>
      <c r="J11" s="236"/>
      <c r="K11" s="236"/>
      <c r="L11" s="236"/>
      <c r="M11" s="236"/>
      <c r="N11" s="237"/>
      <c r="O11" s="165"/>
      <c r="P11" s="108"/>
      <c r="Q11" s="140"/>
      <c r="R11" s="83"/>
    </row>
    <row r="12" spans="1:19" ht="15.75">
      <c r="A12" s="185" t="s">
        <v>37</v>
      </c>
      <c r="B12" s="188">
        <f>+Consolidado!B12</f>
        <v>0</v>
      </c>
      <c r="C12" s="188">
        <f>+Consolidado!C12</f>
        <v>0</v>
      </c>
      <c r="D12" s="188">
        <f>+Consolidado!D12</f>
        <v>0</v>
      </c>
      <c r="E12" s="188"/>
      <c r="F12" s="238">
        <f>+Consolidado!E12</f>
        <v>20000</v>
      </c>
      <c r="G12" s="238">
        <f>+Consolidado!F12</f>
        <v>0</v>
      </c>
      <c r="H12" s="238">
        <f>+Consolidado!G12</f>
        <v>0</v>
      </c>
      <c r="I12" s="238">
        <f>+Consolidado!H12</f>
        <v>0</v>
      </c>
      <c r="J12" s="238">
        <f>+Consolidado!I12</f>
        <v>0</v>
      </c>
      <c r="K12" s="238">
        <f>+Consolidado!J12</f>
        <v>0</v>
      </c>
      <c r="L12" s="238">
        <f>+Consolidado!K12</f>
        <v>0</v>
      </c>
      <c r="M12" s="238">
        <f>+Consolidado!L12</f>
        <v>0</v>
      </c>
      <c r="N12" s="239">
        <f>+Consolidado!M12</f>
        <v>0</v>
      </c>
      <c r="O12" s="166">
        <f>SUM(B12:N12)</f>
        <v>20000</v>
      </c>
      <c r="P12" s="145">
        <f>+O12/$O$24</f>
        <v>0.0821228763537443</v>
      </c>
      <c r="Q12" s="140" t="s">
        <v>74</v>
      </c>
      <c r="R12" s="83"/>
      <c r="S12" s="94"/>
    </row>
    <row r="13" spans="1:19" ht="15.75">
      <c r="A13" s="185" t="s">
        <v>38</v>
      </c>
      <c r="B13" s="188">
        <f>+Consolidado!B13</f>
        <v>1198.5700000000002</v>
      </c>
      <c r="C13" s="188">
        <f>+Consolidado!C13</f>
        <v>1828.8899999999999</v>
      </c>
      <c r="D13" s="188">
        <f>+Consolidado!D13</f>
        <v>681.64</v>
      </c>
      <c r="E13" s="188"/>
      <c r="F13" s="238">
        <f>+Consolidado!E13</f>
        <v>2226.35</v>
      </c>
      <c r="G13" s="238">
        <f>+Consolidado!F13</f>
        <v>1261.3899999999999</v>
      </c>
      <c r="H13" s="238">
        <f>+Consolidado!G13</f>
        <v>1261.3899999999999</v>
      </c>
      <c r="I13" s="238">
        <f>+Consolidado!H13</f>
        <v>1261.3899999999999</v>
      </c>
      <c r="J13" s="238">
        <f>+Consolidado!I13</f>
        <v>1261.3899999999999</v>
      </c>
      <c r="K13" s="238">
        <f>+Consolidado!J13</f>
        <v>1261.3899999999999</v>
      </c>
      <c r="L13" s="238">
        <f>+Consolidado!K13</f>
        <v>1261.3899999999999</v>
      </c>
      <c r="M13" s="238">
        <f>+Consolidado!L13</f>
        <v>1261.3899999999999</v>
      </c>
      <c r="N13" s="239">
        <f>+Consolidado!M13</f>
        <v>1261.3899999999999</v>
      </c>
      <c r="O13" s="166">
        <f aca="true" t="shared" si="1" ref="O13:O21">SUM(B13:N13)</f>
        <v>16026.569999999996</v>
      </c>
      <c r="P13" s="145">
        <f aca="true" t="shared" si="2" ref="P13:P21">+O13/$O$24</f>
        <v>0.06580740132423137</v>
      </c>
      <c r="Q13" s="143" t="s">
        <v>74</v>
      </c>
      <c r="R13" s="84">
        <f>SUM(P12:P13)</f>
        <v>0.14793027767797567</v>
      </c>
      <c r="S13" s="94"/>
    </row>
    <row r="14" spans="1:19" ht="15.75">
      <c r="A14" s="185" t="s">
        <v>36</v>
      </c>
      <c r="B14" s="188">
        <f>+Consolidado!B10</f>
        <v>0</v>
      </c>
      <c r="C14" s="188">
        <f>+Consolidado!C10</f>
        <v>0</v>
      </c>
      <c r="D14" s="188">
        <f>+Consolidado!D10</f>
        <v>0</v>
      </c>
      <c r="E14" s="188"/>
      <c r="F14" s="238">
        <f>+Consolidado!E10</f>
        <v>0</v>
      </c>
      <c r="G14" s="238">
        <f>+Consolidado!F10</f>
        <v>2500</v>
      </c>
      <c r="H14" s="238">
        <f>+Consolidado!G10</f>
        <v>0</v>
      </c>
      <c r="I14" s="238">
        <f>+Consolidado!H10</f>
        <v>0</v>
      </c>
      <c r="J14" s="238">
        <f>+Consolidado!I10</f>
        <v>0</v>
      </c>
      <c r="K14" s="238">
        <f>+Consolidado!J10</f>
        <v>0</v>
      </c>
      <c r="L14" s="238">
        <f>+Consolidado!K10</f>
        <v>0</v>
      </c>
      <c r="M14" s="238">
        <f>+Consolidado!L10</f>
        <v>2500</v>
      </c>
      <c r="N14" s="239">
        <f>+Consolidado!M10</f>
        <v>0</v>
      </c>
      <c r="O14" s="166">
        <f t="shared" si="1"/>
        <v>5000</v>
      </c>
      <c r="P14" s="145">
        <f t="shared" si="2"/>
        <v>0.020530719088436074</v>
      </c>
      <c r="Q14" s="140" t="s">
        <v>73</v>
      </c>
      <c r="R14" s="83"/>
      <c r="S14" s="94"/>
    </row>
    <row r="15" spans="1:19" ht="15.75">
      <c r="A15" s="185" t="s">
        <v>71</v>
      </c>
      <c r="B15" s="188">
        <f>+Consolidado!B11</f>
        <v>13316</v>
      </c>
      <c r="C15" s="188">
        <f>+Consolidado!C11</f>
        <v>13558.76</v>
      </c>
      <c r="D15" s="188">
        <f>+Consolidado!D11</f>
        <v>13641.68</v>
      </c>
      <c r="E15" s="188"/>
      <c r="F15" s="238">
        <f>+Consolidado!E11</f>
        <v>13641.68</v>
      </c>
      <c r="G15" s="238">
        <f>+Consolidado!F11</f>
        <v>13818</v>
      </c>
      <c r="H15" s="238">
        <f>+Consolidado!G11</f>
        <v>13986</v>
      </c>
      <c r="I15" s="238">
        <f>+Consolidado!H11</f>
        <v>14154</v>
      </c>
      <c r="J15" s="238">
        <f>+Consolidado!I11</f>
        <v>14322</v>
      </c>
      <c r="K15" s="238">
        <f>+Consolidado!J11</f>
        <v>14490</v>
      </c>
      <c r="L15" s="238">
        <f>+Consolidado!K11</f>
        <v>14658</v>
      </c>
      <c r="M15" s="238">
        <f>+Consolidado!L11</f>
        <v>14826</v>
      </c>
      <c r="N15" s="239">
        <f>+Consolidado!M11</f>
        <v>15000</v>
      </c>
      <c r="O15" s="166">
        <f t="shared" si="1"/>
        <v>169412.12</v>
      </c>
      <c r="P15" s="145">
        <f t="shared" si="2"/>
        <v>0.6956305291792845</v>
      </c>
      <c r="Q15" s="140" t="s">
        <v>73</v>
      </c>
      <c r="R15" s="83"/>
      <c r="S15" s="94"/>
    </row>
    <row r="16" spans="1:19" ht="15.75">
      <c r="A16" s="185" t="s">
        <v>107</v>
      </c>
      <c r="B16" s="188">
        <f>+Original!B36</f>
        <v>440</v>
      </c>
      <c r="C16" s="188">
        <f>+Consolidado!C15</f>
        <v>153.19</v>
      </c>
      <c r="D16" s="188">
        <f>+Consolidado!D15</f>
        <v>0</v>
      </c>
      <c r="E16" s="188"/>
      <c r="F16" s="238">
        <f>+Consolidado!E15</f>
        <v>0</v>
      </c>
      <c r="G16" s="238">
        <f>+Consolidado!F15</f>
        <v>0</v>
      </c>
      <c r="H16" s="238">
        <f>+Consolidado!G15</f>
        <v>0</v>
      </c>
      <c r="I16" s="238">
        <f>+Consolidado!H15</f>
        <v>0</v>
      </c>
      <c r="J16" s="238">
        <f>+Consolidado!I15</f>
        <v>0</v>
      </c>
      <c r="K16" s="238">
        <f>+Consolidado!J15</f>
        <v>0</v>
      </c>
      <c r="L16" s="238">
        <f>+Consolidado!K15</f>
        <v>0</v>
      </c>
      <c r="M16" s="238">
        <f>+Consolidado!L15</f>
        <v>0</v>
      </c>
      <c r="N16" s="239">
        <f>+Consolidado!M15</f>
        <v>4000</v>
      </c>
      <c r="O16" s="166">
        <f t="shared" si="1"/>
        <v>4593.1900000000005</v>
      </c>
      <c r="P16" s="145">
        <f t="shared" si="2"/>
        <v>0.018860298721962737</v>
      </c>
      <c r="Q16" s="140" t="s">
        <v>73</v>
      </c>
      <c r="R16" s="83"/>
      <c r="S16" s="94"/>
    </row>
    <row r="17" spans="1:19" ht="15.75">
      <c r="A17" s="189" t="s">
        <v>24</v>
      </c>
      <c r="B17" s="188">
        <f>+Consolidado!B17</f>
        <v>1000</v>
      </c>
      <c r="C17" s="188">
        <f>+Consolidado!C17</f>
        <v>0</v>
      </c>
      <c r="D17" s="188">
        <f>+Consolidado!D17</f>
        <v>0</v>
      </c>
      <c r="E17" s="188"/>
      <c r="F17" s="238">
        <f>+Consolidado!E17</f>
        <v>2000</v>
      </c>
      <c r="G17" s="238">
        <f>+Consolidado!F17</f>
        <v>2000</v>
      </c>
      <c r="H17" s="238">
        <f>+Consolidado!G17</f>
        <v>2000</v>
      </c>
      <c r="I17" s="238">
        <f>+Consolidado!H17</f>
        <v>2000</v>
      </c>
      <c r="J17" s="238">
        <f>+Consolidado!I17</f>
        <v>2000</v>
      </c>
      <c r="K17" s="238">
        <f>+Consolidado!J17</f>
        <v>2000</v>
      </c>
      <c r="L17" s="238">
        <f>+Consolidado!K17</f>
        <v>2000</v>
      </c>
      <c r="M17" s="238">
        <f>+Consolidado!L17</f>
        <v>2000</v>
      </c>
      <c r="N17" s="239">
        <f>+Consolidado!M17</f>
        <v>2000</v>
      </c>
      <c r="O17" s="166">
        <f t="shared" si="1"/>
        <v>19000</v>
      </c>
      <c r="P17" s="145">
        <f t="shared" si="2"/>
        <v>0.07801673253605708</v>
      </c>
      <c r="Q17" s="140" t="s">
        <v>73</v>
      </c>
      <c r="R17" s="83"/>
      <c r="S17" s="94"/>
    </row>
    <row r="18" spans="1:19" ht="15.75" hidden="1">
      <c r="A18" s="189" t="s">
        <v>25</v>
      </c>
      <c r="B18" s="188">
        <f>+Consolidado!B18</f>
        <v>0</v>
      </c>
      <c r="C18" s="188">
        <f>+Consolidado!C18</f>
        <v>0</v>
      </c>
      <c r="D18" s="188">
        <f>+Consolidado!D18</f>
        <v>0</v>
      </c>
      <c r="E18" s="188"/>
      <c r="F18" s="238">
        <f>+Consolidado!E18</f>
        <v>0</v>
      </c>
      <c r="G18" s="238">
        <f>+Consolidado!F18</f>
        <v>0</v>
      </c>
      <c r="H18" s="238">
        <f>+Consolidado!G18</f>
        <v>0</v>
      </c>
      <c r="I18" s="238">
        <f>+Consolidado!H18</f>
        <v>0</v>
      </c>
      <c r="J18" s="238">
        <f>+Consolidado!I18</f>
        <v>0</v>
      </c>
      <c r="K18" s="238">
        <f>+Consolidado!J18</f>
        <v>0</v>
      </c>
      <c r="L18" s="238">
        <f>+Consolidado!K18</f>
        <v>0</v>
      </c>
      <c r="M18" s="238">
        <f>+Consolidado!L18</f>
        <v>0</v>
      </c>
      <c r="N18" s="239">
        <f>+Consolidado!M18</f>
        <v>0</v>
      </c>
      <c r="O18" s="166">
        <f t="shared" si="1"/>
        <v>0</v>
      </c>
      <c r="P18" s="145">
        <f t="shared" si="2"/>
        <v>0</v>
      </c>
      <c r="Q18" s="143" t="s">
        <v>73</v>
      </c>
      <c r="R18" s="84">
        <f>SUM(P14:P18)</f>
        <v>0.8130382795257404</v>
      </c>
      <c r="S18" s="94"/>
    </row>
    <row r="19" spans="1:19" ht="15.75">
      <c r="A19" s="189" t="s">
        <v>23</v>
      </c>
      <c r="B19" s="188">
        <f>+Consolidado!B16</f>
        <v>505.62</v>
      </c>
      <c r="C19" s="188">
        <f>+Consolidado!C16</f>
        <v>1000</v>
      </c>
      <c r="D19" s="188">
        <f>+Consolidado!D16</f>
        <v>0</v>
      </c>
      <c r="E19" s="188"/>
      <c r="F19" s="238">
        <f>+Consolidado!E16</f>
        <v>0</v>
      </c>
      <c r="G19" s="238">
        <f>+Consolidado!F16</f>
        <v>0</v>
      </c>
      <c r="H19" s="238">
        <f>+Consolidado!G16</f>
        <v>0</v>
      </c>
      <c r="I19" s="238">
        <f>+Consolidado!H16</f>
        <v>0</v>
      </c>
      <c r="J19" s="238">
        <f>+Consolidado!I16</f>
        <v>0</v>
      </c>
      <c r="K19" s="238">
        <f>+Consolidado!J16</f>
        <v>0</v>
      </c>
      <c r="L19" s="238">
        <f>+Consolidado!K16</f>
        <v>0</v>
      </c>
      <c r="M19" s="238">
        <f>+Consolidado!L16</f>
        <v>0</v>
      </c>
      <c r="N19" s="239">
        <f>+Consolidado!M16</f>
        <v>0</v>
      </c>
      <c r="O19" s="166">
        <f t="shared" si="1"/>
        <v>1505.62</v>
      </c>
      <c r="P19" s="145">
        <f t="shared" si="2"/>
        <v>0.006182292254786223</v>
      </c>
      <c r="Q19" s="143" t="s">
        <v>77</v>
      </c>
      <c r="R19" s="84">
        <f>+P19</f>
        <v>0.006182292254786223</v>
      </c>
      <c r="S19" s="94"/>
    </row>
    <row r="20" spans="1:19" ht="15.75" hidden="1">
      <c r="A20" s="185" t="s">
        <v>39</v>
      </c>
      <c r="B20" s="188">
        <f>+Consolidado!B14</f>
        <v>0</v>
      </c>
      <c r="C20" s="188">
        <f>+Consolidado!C14</f>
        <v>0</v>
      </c>
      <c r="D20" s="188">
        <f>+Consolidado!D14</f>
        <v>0</v>
      </c>
      <c r="E20" s="188"/>
      <c r="F20" s="238">
        <f>+Consolidado!E14</f>
        <v>0</v>
      </c>
      <c r="G20" s="238">
        <f>+Consolidado!F14</f>
        <v>0</v>
      </c>
      <c r="H20" s="238">
        <f>+Consolidado!G14</f>
        <v>0</v>
      </c>
      <c r="I20" s="238">
        <f>+Consolidado!H14</f>
        <v>0</v>
      </c>
      <c r="J20" s="238">
        <f>+Consolidado!I14</f>
        <v>0</v>
      </c>
      <c r="K20" s="238">
        <f>+Consolidado!J14</f>
        <v>0</v>
      </c>
      <c r="L20" s="238">
        <f>+Consolidado!K14</f>
        <v>0</v>
      </c>
      <c r="M20" s="238">
        <f>+Consolidado!L14</f>
        <v>0</v>
      </c>
      <c r="N20" s="239">
        <f>+Consolidado!M14</f>
        <v>0</v>
      </c>
      <c r="O20" s="167">
        <f t="shared" si="1"/>
        <v>0</v>
      </c>
      <c r="P20" s="146">
        <f t="shared" si="2"/>
        <v>0</v>
      </c>
      <c r="Q20" s="140" t="s">
        <v>75</v>
      </c>
      <c r="R20" s="83"/>
      <c r="S20" s="94"/>
    </row>
    <row r="21" spans="1:19" ht="16.5" thickBot="1">
      <c r="A21" s="185" t="s">
        <v>109</v>
      </c>
      <c r="B21" s="188">
        <f>+Consolidado!B19</f>
        <v>0</v>
      </c>
      <c r="C21" s="188">
        <f>+Consolidado!C19</f>
        <v>0</v>
      </c>
      <c r="D21" s="188">
        <f>+Consolidado!D19</f>
        <v>0</v>
      </c>
      <c r="E21" s="188"/>
      <c r="F21" s="238">
        <f>+Consolidado!E19</f>
        <v>0</v>
      </c>
      <c r="G21" s="238">
        <f>+Consolidado!F19</f>
        <v>0</v>
      </c>
      <c r="H21" s="238">
        <f>+Consolidado!G19</f>
        <v>4000</v>
      </c>
      <c r="I21" s="238">
        <f>+Consolidado!H19</f>
        <v>0</v>
      </c>
      <c r="J21" s="238">
        <f>+Consolidado!I19</f>
        <v>0</v>
      </c>
      <c r="K21" s="238">
        <f>+Consolidado!J19</f>
        <v>0</v>
      </c>
      <c r="L21" s="238">
        <f>+Consolidado!K19</f>
        <v>4000</v>
      </c>
      <c r="M21" s="238">
        <f>+Consolidado!L19</f>
        <v>0</v>
      </c>
      <c r="N21" s="239">
        <f>+Consolidado!M19</f>
        <v>0</v>
      </c>
      <c r="O21" s="168">
        <f t="shared" si="1"/>
        <v>8000</v>
      </c>
      <c r="P21" s="146">
        <f t="shared" si="2"/>
        <v>0.032849150541497715</v>
      </c>
      <c r="Q21" s="143" t="s">
        <v>75</v>
      </c>
      <c r="R21" s="84">
        <f>SUM(P20:P21)</f>
        <v>0.032849150541497715</v>
      </c>
      <c r="S21" s="94"/>
    </row>
    <row r="22" spans="1:18" ht="15.75" hidden="1">
      <c r="A22" s="189"/>
      <c r="B22" s="190"/>
      <c r="C22" s="190"/>
      <c r="D22" s="190"/>
      <c r="E22" s="190"/>
      <c r="F22" s="240"/>
      <c r="G22" s="240"/>
      <c r="H22" s="241"/>
      <c r="I22" s="241"/>
      <c r="J22" s="241"/>
      <c r="K22" s="241"/>
      <c r="L22" s="241"/>
      <c r="M22" s="236"/>
      <c r="N22" s="237"/>
      <c r="O22" s="150"/>
      <c r="P22" s="108"/>
      <c r="Q22" s="140"/>
      <c r="R22" s="83"/>
    </row>
    <row r="23" spans="1:17" ht="2.25" customHeight="1" thickBot="1">
      <c r="A23" s="185"/>
      <c r="B23" s="187"/>
      <c r="C23" s="187"/>
      <c r="D23" s="187"/>
      <c r="E23" s="187"/>
      <c r="F23" s="234"/>
      <c r="G23" s="234"/>
      <c r="H23" s="235"/>
      <c r="I23" s="235"/>
      <c r="J23" s="235"/>
      <c r="K23" s="235"/>
      <c r="L23" s="235"/>
      <c r="M23" s="240"/>
      <c r="N23" s="242"/>
      <c r="O23" s="169"/>
      <c r="P23" s="141"/>
      <c r="Q23" s="140"/>
    </row>
    <row r="24" spans="1:17" ht="16.5" thickBot="1">
      <c r="A24" s="191" t="s">
        <v>27</v>
      </c>
      <c r="B24" s="192">
        <f>SUM(B12:B23)</f>
        <v>16460.19</v>
      </c>
      <c r="C24" s="192">
        <f aca="true" t="shared" si="3" ref="C24:N24">SUM(C12:C23)</f>
        <v>16540.84</v>
      </c>
      <c r="D24" s="192">
        <f t="shared" si="3"/>
        <v>14323.32</v>
      </c>
      <c r="E24" s="192"/>
      <c r="F24" s="243">
        <f t="shared" si="3"/>
        <v>37868.03</v>
      </c>
      <c r="G24" s="243">
        <f t="shared" si="3"/>
        <v>19579.39</v>
      </c>
      <c r="H24" s="243">
        <f t="shared" si="3"/>
        <v>21247.39</v>
      </c>
      <c r="I24" s="243">
        <f t="shared" si="3"/>
        <v>17415.39</v>
      </c>
      <c r="J24" s="243">
        <f t="shared" si="3"/>
        <v>17583.39</v>
      </c>
      <c r="K24" s="243">
        <f t="shared" si="3"/>
        <v>17751.39</v>
      </c>
      <c r="L24" s="243">
        <f t="shared" si="3"/>
        <v>21919.39</v>
      </c>
      <c r="M24" s="243">
        <f t="shared" si="3"/>
        <v>20587.39</v>
      </c>
      <c r="N24" s="244">
        <f t="shared" si="3"/>
        <v>22261.39</v>
      </c>
      <c r="O24" s="170">
        <f>SUM(O12:O21)</f>
        <v>243537.5</v>
      </c>
      <c r="P24" s="147">
        <f>SUM(P12:P23)</f>
        <v>1</v>
      </c>
      <c r="Q24" s="140"/>
    </row>
    <row r="25" spans="1:17" ht="15.75">
      <c r="A25" s="185"/>
      <c r="B25" s="187"/>
      <c r="C25" s="187"/>
      <c r="D25" s="187"/>
      <c r="E25" s="187"/>
      <c r="F25" s="234"/>
      <c r="G25" s="234"/>
      <c r="H25" s="235"/>
      <c r="I25" s="235"/>
      <c r="J25" s="235"/>
      <c r="K25" s="235"/>
      <c r="L25" s="235"/>
      <c r="M25" s="235"/>
      <c r="N25" s="245"/>
      <c r="O25" s="165"/>
      <c r="P25" s="148"/>
      <c r="Q25" s="140"/>
    </row>
    <row r="26" spans="1:17" ht="15.75">
      <c r="A26" s="185" t="s">
        <v>28</v>
      </c>
      <c r="B26" s="188">
        <f>+Original!B41</f>
        <v>22.25</v>
      </c>
      <c r="C26" s="188">
        <f>+Original!C41</f>
        <v>3256</v>
      </c>
      <c r="D26" s="188">
        <f>+Original!D41</f>
        <v>222.25</v>
      </c>
      <c r="E26" s="188"/>
      <c r="F26" s="238">
        <f>+Original!F41</f>
        <v>1400</v>
      </c>
      <c r="G26" s="238">
        <f>+Original!G41</f>
        <v>1400</v>
      </c>
      <c r="H26" s="238">
        <f>+Original!H41</f>
        <v>1400</v>
      </c>
      <c r="I26" s="238">
        <f>+Original!I41</f>
        <v>1400</v>
      </c>
      <c r="J26" s="238">
        <f>+Original!J41</f>
        <v>1400</v>
      </c>
      <c r="K26" s="238">
        <f>+Original!K41</f>
        <v>1400</v>
      </c>
      <c r="L26" s="238">
        <f>+Original!L41</f>
        <v>1400</v>
      </c>
      <c r="M26" s="238">
        <f>+Original!M41</f>
        <v>1400</v>
      </c>
      <c r="N26" s="239">
        <f>+Original!N41</f>
        <v>1400</v>
      </c>
      <c r="O26" s="166">
        <f aca="true" t="shared" si="4" ref="O26:O32">SUM(B26:N26)</f>
        <v>16100.5</v>
      </c>
      <c r="P26" s="145">
        <f aca="true" t="shared" si="5" ref="P26:P31">+O26/$O$33</f>
        <v>0.08605268291640054</v>
      </c>
      <c r="Q26" s="140"/>
    </row>
    <row r="27" spans="1:17" ht="15.75">
      <c r="A27" s="185" t="s">
        <v>76</v>
      </c>
      <c r="B27" s="188">
        <f>+Original!B42</f>
        <v>0</v>
      </c>
      <c r="C27" s="188">
        <f>+Original!C42</f>
        <v>0</v>
      </c>
      <c r="D27" s="188">
        <f>+Original!D42</f>
        <v>0</v>
      </c>
      <c r="E27" s="188"/>
      <c r="F27" s="238">
        <f>+Original!F42</f>
        <v>171000</v>
      </c>
      <c r="G27" s="238">
        <f>+Original!G42</f>
        <v>0</v>
      </c>
      <c r="H27" s="238"/>
      <c r="I27" s="238"/>
      <c r="J27" s="238"/>
      <c r="K27" s="238"/>
      <c r="L27" s="238"/>
      <c r="M27" s="238"/>
      <c r="N27" s="239"/>
      <c r="O27" s="166">
        <f t="shared" si="4"/>
        <v>171000</v>
      </c>
      <c r="P27" s="145">
        <f t="shared" si="5"/>
        <v>0.9139473170835994</v>
      </c>
      <c r="Q27" s="140"/>
    </row>
    <row r="28" spans="1:17" ht="15.75" hidden="1">
      <c r="A28" s="185" t="s">
        <v>103</v>
      </c>
      <c r="B28" s="188"/>
      <c r="C28" s="188">
        <f>+Original!C43</f>
        <v>0</v>
      </c>
      <c r="D28" s="188">
        <f>+Original!D43</f>
        <v>0</v>
      </c>
      <c r="E28" s="188"/>
      <c r="F28" s="238">
        <f>+Original!F43</f>
        <v>0</v>
      </c>
      <c r="G28" s="238">
        <f>+Original!G43</f>
        <v>0</v>
      </c>
      <c r="H28" s="238"/>
      <c r="I28" s="238"/>
      <c r="J28" s="238"/>
      <c r="K28" s="238"/>
      <c r="L28" s="238"/>
      <c r="M28" s="238"/>
      <c r="N28" s="239">
        <f>+Original!N43</f>
        <v>0</v>
      </c>
      <c r="O28" s="166">
        <f t="shared" si="4"/>
        <v>0</v>
      </c>
      <c r="P28" s="145">
        <f t="shared" si="5"/>
        <v>0</v>
      </c>
      <c r="Q28" s="140"/>
    </row>
    <row r="29" spans="1:17" ht="15.75" hidden="1">
      <c r="A29" s="185" t="s">
        <v>104</v>
      </c>
      <c r="B29" s="188"/>
      <c r="C29" s="188"/>
      <c r="D29" s="193"/>
      <c r="E29" s="193"/>
      <c r="F29" s="238"/>
      <c r="G29" s="238"/>
      <c r="H29" s="238"/>
      <c r="I29" s="238"/>
      <c r="J29" s="238"/>
      <c r="K29" s="238"/>
      <c r="L29" s="238"/>
      <c r="M29" s="238"/>
      <c r="N29" s="239">
        <f>+Original!N44</f>
        <v>0</v>
      </c>
      <c r="O29" s="166">
        <f t="shared" si="4"/>
        <v>0</v>
      </c>
      <c r="P29" s="145">
        <f t="shared" si="5"/>
        <v>0</v>
      </c>
      <c r="Q29" s="140"/>
    </row>
    <row r="30" spans="1:17" ht="15.75" hidden="1">
      <c r="A30" s="185" t="s">
        <v>29</v>
      </c>
      <c r="B30" s="188">
        <f>+Original!B45</f>
        <v>0</v>
      </c>
      <c r="C30" s="188"/>
      <c r="D30" s="188"/>
      <c r="E30" s="188"/>
      <c r="F30" s="238"/>
      <c r="G30" s="238"/>
      <c r="H30" s="238"/>
      <c r="I30" s="238"/>
      <c r="J30" s="238"/>
      <c r="K30" s="238"/>
      <c r="L30" s="238">
        <f>+Original!L45</f>
        <v>0</v>
      </c>
      <c r="M30" s="238"/>
      <c r="N30" s="239"/>
      <c r="O30" s="166">
        <f t="shared" si="4"/>
        <v>0</v>
      </c>
      <c r="P30" s="145">
        <f t="shared" si="5"/>
        <v>0</v>
      </c>
      <c r="Q30" s="140"/>
    </row>
    <row r="31" spans="1:17" ht="15.75" hidden="1">
      <c r="A31" s="194" t="s">
        <v>30</v>
      </c>
      <c r="B31" s="188">
        <f>+Original!B46</f>
        <v>0</v>
      </c>
      <c r="C31" s="188">
        <f>+Original!C46</f>
        <v>0</v>
      </c>
      <c r="D31" s="188">
        <f>+Original!D46</f>
        <v>0</v>
      </c>
      <c r="E31" s="188"/>
      <c r="F31" s="238">
        <f>+Original!F46</f>
        <v>0</v>
      </c>
      <c r="G31" s="238">
        <f>+Original!G46</f>
        <v>0</v>
      </c>
      <c r="H31" s="238">
        <f>+Original!H46</f>
        <v>0</v>
      </c>
      <c r="I31" s="238">
        <f>+Original!I46</f>
        <v>0</v>
      </c>
      <c r="J31" s="238">
        <f>+Original!J46</f>
        <v>0</v>
      </c>
      <c r="K31" s="238">
        <f>+Original!K46</f>
        <v>0</v>
      </c>
      <c r="L31" s="238">
        <f>+Original!L46</f>
        <v>0</v>
      </c>
      <c r="M31" s="238">
        <f>+Original!M46</f>
        <v>0</v>
      </c>
      <c r="N31" s="239">
        <f>+Original!N46</f>
        <v>0</v>
      </c>
      <c r="O31" s="166">
        <f t="shared" si="4"/>
        <v>0</v>
      </c>
      <c r="P31" s="145">
        <f t="shared" si="5"/>
        <v>0</v>
      </c>
      <c r="Q31" s="140"/>
    </row>
    <row r="32" spans="1:17" ht="2.25" customHeight="1" thickBot="1">
      <c r="A32" s="185"/>
      <c r="B32" s="187"/>
      <c r="C32" s="187"/>
      <c r="D32" s="187"/>
      <c r="E32" s="187"/>
      <c r="F32" s="234"/>
      <c r="G32" s="234"/>
      <c r="H32" s="235"/>
      <c r="I32" s="235"/>
      <c r="J32" s="235"/>
      <c r="K32" s="235"/>
      <c r="L32" s="235"/>
      <c r="M32" s="235"/>
      <c r="N32" s="245"/>
      <c r="O32" s="166">
        <f t="shared" si="4"/>
        <v>0</v>
      </c>
      <c r="P32" s="149"/>
      <c r="Q32" s="140"/>
    </row>
    <row r="33" spans="1:17" ht="15" customHeight="1" thickBot="1">
      <c r="A33" s="191" t="s">
        <v>31</v>
      </c>
      <c r="B33" s="192">
        <f aca="true" t="shared" si="6" ref="B33:P33">SUM(B26:B32)</f>
        <v>22.25</v>
      </c>
      <c r="C33" s="195">
        <f t="shared" si="6"/>
        <v>3256</v>
      </c>
      <c r="D33" s="192">
        <f t="shared" si="6"/>
        <v>222.25</v>
      </c>
      <c r="E33" s="192"/>
      <c r="F33" s="246">
        <f>SUM(F26:F32)</f>
        <v>172400</v>
      </c>
      <c r="G33" s="246">
        <f t="shared" si="6"/>
        <v>1400</v>
      </c>
      <c r="H33" s="247">
        <f t="shared" si="6"/>
        <v>1400</v>
      </c>
      <c r="I33" s="247">
        <f t="shared" si="6"/>
        <v>1400</v>
      </c>
      <c r="J33" s="247">
        <f t="shared" si="6"/>
        <v>1400</v>
      </c>
      <c r="K33" s="247">
        <f t="shared" si="6"/>
        <v>1400</v>
      </c>
      <c r="L33" s="247">
        <f t="shared" si="6"/>
        <v>1400</v>
      </c>
      <c r="M33" s="247">
        <f t="shared" si="6"/>
        <v>1400</v>
      </c>
      <c r="N33" s="244">
        <f t="shared" si="6"/>
        <v>1400</v>
      </c>
      <c r="O33" s="170">
        <f t="shared" si="6"/>
        <v>187100.5</v>
      </c>
      <c r="P33" s="147">
        <f t="shared" si="6"/>
        <v>1</v>
      </c>
      <c r="Q33" s="140"/>
    </row>
    <row r="34" spans="1:17" ht="1.5" customHeight="1" thickBot="1">
      <c r="A34" s="185"/>
      <c r="B34" s="187"/>
      <c r="C34" s="187"/>
      <c r="D34" s="187"/>
      <c r="E34" s="187"/>
      <c r="F34" s="234"/>
      <c r="G34" s="234"/>
      <c r="H34" s="235"/>
      <c r="I34" s="235"/>
      <c r="J34" s="235"/>
      <c r="K34" s="235"/>
      <c r="L34" s="235"/>
      <c r="M34" s="235"/>
      <c r="N34" s="245"/>
      <c r="O34" s="171"/>
      <c r="P34" s="108"/>
      <c r="Q34" s="140"/>
    </row>
    <row r="35" spans="1:16" ht="16.5" thickBot="1">
      <c r="A35" s="196" t="s">
        <v>41</v>
      </c>
      <c r="B35" s="197">
        <f aca="true" t="shared" si="7" ref="B35:O35">+B8-B24+B33</f>
        <v>79641.65</v>
      </c>
      <c r="C35" s="198">
        <f t="shared" si="7"/>
        <v>66356.81</v>
      </c>
      <c r="D35" s="198">
        <f t="shared" si="7"/>
        <v>52255.74</v>
      </c>
      <c r="E35" s="198"/>
      <c r="F35" s="248">
        <f t="shared" si="7"/>
        <v>186787.71</v>
      </c>
      <c r="G35" s="248">
        <f t="shared" si="7"/>
        <v>168608.32</v>
      </c>
      <c r="H35" s="248">
        <f t="shared" si="7"/>
        <v>148760.93</v>
      </c>
      <c r="I35" s="248">
        <f t="shared" si="7"/>
        <v>132745.53999999998</v>
      </c>
      <c r="J35" s="248">
        <f t="shared" si="7"/>
        <v>116562.14999999998</v>
      </c>
      <c r="K35" s="248">
        <f t="shared" si="7"/>
        <v>100210.75999999998</v>
      </c>
      <c r="L35" s="248">
        <f t="shared" si="7"/>
        <v>79691.36999999998</v>
      </c>
      <c r="M35" s="248">
        <f t="shared" si="7"/>
        <v>60503.97999999998</v>
      </c>
      <c r="N35" s="249">
        <f t="shared" si="7"/>
        <v>39642.58999999998</v>
      </c>
      <c r="O35" s="172">
        <f t="shared" si="7"/>
        <v>39642.59</v>
      </c>
      <c r="P35" s="142"/>
    </row>
    <row r="36" spans="2:15" s="85" customFormat="1" ht="12.75" hidden="1">
      <c r="B36" s="86">
        <f>+Original!B50</f>
        <v>79641.65</v>
      </c>
      <c r="C36" s="86">
        <f>+Original!C50</f>
        <v>66356.81</v>
      </c>
      <c r="D36" s="86">
        <f>+Original!D50</f>
        <v>52255.74</v>
      </c>
      <c r="E36" s="86"/>
      <c r="F36" s="86">
        <f>+Original!F50</f>
        <v>186787.71</v>
      </c>
      <c r="G36" s="86">
        <f>+Original!G50</f>
        <v>168608.32</v>
      </c>
      <c r="H36" s="86">
        <f>+Original!H50</f>
        <v>148760.93</v>
      </c>
      <c r="I36" s="86">
        <f>+Original!I50</f>
        <v>132745.53999999998</v>
      </c>
      <c r="J36" s="86">
        <f>+Original!J50</f>
        <v>116562.14999999998</v>
      </c>
      <c r="K36" s="86">
        <f>+Original!K50</f>
        <v>100210.75999999998</v>
      </c>
      <c r="L36" s="86">
        <f>+Original!L50</f>
        <v>79691.36999999998</v>
      </c>
      <c r="M36" s="86">
        <f>+Original!M50</f>
        <v>60503.97999999998</v>
      </c>
      <c r="N36" s="86">
        <f>+Original!N50</f>
        <v>31642.589999999982</v>
      </c>
      <c r="O36" s="86">
        <f>+Original!O50</f>
        <v>31642.58999999994</v>
      </c>
    </row>
    <row r="37" spans="2:15" ht="12.75" hidden="1">
      <c r="B37" s="63">
        <f aca="true" t="shared" si="8" ref="B37:L37">+B35-B36</f>
        <v>0</v>
      </c>
      <c r="C37" s="63">
        <f t="shared" si="8"/>
        <v>0</v>
      </c>
      <c r="D37" s="63">
        <f t="shared" si="8"/>
        <v>0</v>
      </c>
      <c r="E37" s="63"/>
      <c r="F37" s="63">
        <f t="shared" si="8"/>
        <v>0</v>
      </c>
      <c r="G37" s="63">
        <f t="shared" si="8"/>
        <v>0</v>
      </c>
      <c r="H37" s="63">
        <f t="shared" si="8"/>
        <v>0</v>
      </c>
      <c r="I37" s="63">
        <f t="shared" si="8"/>
        <v>0</v>
      </c>
      <c r="J37" s="63">
        <f t="shared" si="8"/>
        <v>0</v>
      </c>
      <c r="K37" s="63">
        <f t="shared" si="8"/>
        <v>0</v>
      </c>
      <c r="L37" s="63">
        <f t="shared" si="8"/>
        <v>0</v>
      </c>
      <c r="N37" s="88"/>
      <c r="O37" s="89">
        <f>+O35-N35</f>
        <v>0</v>
      </c>
    </row>
    <row r="38" spans="7:15" ht="12.75" hidden="1">
      <c r="G38" s="88"/>
      <c r="K38" s="90"/>
      <c r="O38" s="89"/>
    </row>
    <row r="39" spans="7:15" ht="12.75">
      <c r="G39" s="90"/>
      <c r="H39" s="90"/>
      <c r="I39" s="90"/>
      <c r="J39" s="90"/>
      <c r="K39" s="91"/>
      <c r="O39" s="92"/>
    </row>
    <row r="40" spans="2:15" ht="12.75">
      <c r="B40" s="63"/>
      <c r="C40" s="63"/>
      <c r="D40" s="63"/>
      <c r="E40" s="63"/>
      <c r="F40" s="63"/>
      <c r="G40" s="63"/>
      <c r="H40" s="63"/>
      <c r="I40" s="63"/>
      <c r="J40" s="63"/>
      <c r="K40" s="63"/>
      <c r="O40" s="86"/>
    </row>
    <row r="41" ht="12.75">
      <c r="O41" s="92"/>
    </row>
  </sheetData>
  <sheetProtection/>
  <mergeCells count="3">
    <mergeCell ref="B5:D5"/>
    <mergeCell ref="F5:N5"/>
    <mergeCell ref="A2:N2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73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C1:D50"/>
  <sheetViews>
    <sheetView zoomScalePageLayoutView="0" workbookViewId="0" topLeftCell="A1">
      <selection activeCell="I15" sqref="I15"/>
    </sheetView>
  </sheetViews>
  <sheetFormatPr defaultColWidth="9.140625" defaultRowHeight="12.75"/>
  <cols>
    <col min="3" max="3" width="10.7109375" style="55" bestFit="1" customWidth="1"/>
    <col min="4" max="4" width="53.7109375" style="0" bestFit="1" customWidth="1"/>
  </cols>
  <sheetData>
    <row r="1" ht="12.75">
      <c r="D1" s="60" t="s">
        <v>78</v>
      </c>
    </row>
    <row r="2" ht="12.75">
      <c r="D2" s="60" t="s">
        <v>79</v>
      </c>
    </row>
    <row r="3" ht="12.75">
      <c r="D3" s="60" t="s">
        <v>80</v>
      </c>
    </row>
    <row r="4" ht="12.75">
      <c r="D4" s="60"/>
    </row>
    <row r="5" spans="3:4" ht="12.75">
      <c r="C5" s="63" t="s">
        <v>81</v>
      </c>
      <c r="D5" s="60" t="s">
        <v>82</v>
      </c>
    </row>
    <row r="6" spans="3:4" ht="12.75">
      <c r="C6" s="63"/>
      <c r="D6" s="60"/>
    </row>
    <row r="8" spans="3:4" ht="12.75">
      <c r="C8" s="55">
        <v>13316</v>
      </c>
      <c r="D8" s="60" t="s">
        <v>56</v>
      </c>
    </row>
    <row r="9" spans="3:4" ht="12.75">
      <c r="C9" s="62">
        <f>SUM(C8:C8)</f>
        <v>13316</v>
      </c>
      <c r="D9" s="60"/>
    </row>
    <row r="11" spans="3:4" ht="12.75">
      <c r="C11" s="67">
        <v>126.48</v>
      </c>
      <c r="D11" s="60" t="s">
        <v>83</v>
      </c>
    </row>
    <row r="12" spans="3:4" ht="12.75">
      <c r="C12" s="67">
        <v>249.19</v>
      </c>
      <c r="D12" s="60" t="s">
        <v>84</v>
      </c>
    </row>
    <row r="13" spans="3:4" ht="12.75">
      <c r="C13" s="67">
        <v>142.51</v>
      </c>
      <c r="D13" s="60" t="s">
        <v>85</v>
      </c>
    </row>
    <row r="14" spans="3:4" ht="12.75">
      <c r="C14" s="63">
        <v>252.5</v>
      </c>
      <c r="D14" s="60" t="s">
        <v>86</v>
      </c>
    </row>
    <row r="15" spans="3:4" ht="12.75">
      <c r="C15" s="63">
        <v>115.89</v>
      </c>
      <c r="D15" s="60" t="s">
        <v>87</v>
      </c>
    </row>
    <row r="16" ht="12.75">
      <c r="C16" s="62">
        <f>SUM(C11:C15)</f>
        <v>886.57</v>
      </c>
    </row>
    <row r="18" ht="12.75">
      <c r="D18" s="60"/>
    </row>
    <row r="19" ht="12.75">
      <c r="D19" s="60"/>
    </row>
    <row r="20" ht="12.75">
      <c r="D20" s="60"/>
    </row>
    <row r="21" ht="12.75">
      <c r="D21" s="60"/>
    </row>
    <row r="22" ht="12.75">
      <c r="C22" s="62">
        <f>SUM(C18:C21)</f>
        <v>0</v>
      </c>
    </row>
    <row r="23" ht="12.75">
      <c r="C23" s="62"/>
    </row>
    <row r="24" spans="3:4" ht="12.75">
      <c r="C24" s="59">
        <v>312</v>
      </c>
      <c r="D24" s="71" t="s">
        <v>88</v>
      </c>
    </row>
    <row r="25" spans="3:4" ht="12.75" hidden="1">
      <c r="C25" s="59"/>
      <c r="D25" s="71"/>
    </row>
    <row r="26" spans="3:4" ht="12.75" hidden="1">
      <c r="C26" s="59"/>
      <c r="D26" s="71"/>
    </row>
    <row r="27" spans="3:4" ht="12.75" hidden="1">
      <c r="C27" s="59"/>
      <c r="D27" s="71"/>
    </row>
    <row r="28" spans="3:4" ht="12.75" hidden="1">
      <c r="C28" s="59"/>
      <c r="D28" s="71"/>
    </row>
    <row r="29" spans="3:4" ht="12.75" hidden="1">
      <c r="C29" s="59"/>
      <c r="D29" s="71"/>
    </row>
    <row r="30" spans="3:4" ht="12.75" hidden="1">
      <c r="C30" s="59"/>
      <c r="D30" s="71"/>
    </row>
    <row r="31" ht="12.75">
      <c r="C31" s="62">
        <f>SUM(C24:C30)</f>
        <v>312</v>
      </c>
    </row>
    <row r="32" ht="12.75">
      <c r="C32" s="62"/>
    </row>
    <row r="33" ht="12.75">
      <c r="C33" s="62"/>
    </row>
    <row r="34" spans="3:4" ht="12.75">
      <c r="C34" s="70">
        <v>505.62</v>
      </c>
      <c r="D34" s="66" t="s">
        <v>89</v>
      </c>
    </row>
    <row r="35" ht="12.75">
      <c r="C35" s="62">
        <f>SUM(C34:C34)</f>
        <v>505.62</v>
      </c>
    </row>
    <row r="37" ht="12.75">
      <c r="C37" s="62"/>
    </row>
    <row r="38" spans="3:4" ht="12.75">
      <c r="C38" s="67">
        <v>1000</v>
      </c>
      <c r="D38" s="66" t="s">
        <v>90</v>
      </c>
    </row>
    <row r="39" ht="12.75">
      <c r="C39" s="62"/>
    </row>
    <row r="40" ht="12.75">
      <c r="C40" s="62">
        <f>SUM(C38:C39)</f>
        <v>1000</v>
      </c>
    </row>
    <row r="41" ht="12.75">
      <c r="C41" s="62"/>
    </row>
    <row r="42" ht="12.75">
      <c r="C42" s="62"/>
    </row>
    <row r="43" spans="3:4" ht="12.75">
      <c r="C43" s="59">
        <v>153.87</v>
      </c>
      <c r="D43" s="71" t="s">
        <v>91</v>
      </c>
    </row>
    <row r="44" spans="3:4" ht="12.75">
      <c r="C44" s="59">
        <v>155</v>
      </c>
      <c r="D44" s="71" t="s">
        <v>92</v>
      </c>
    </row>
    <row r="45" spans="3:4" ht="12.75">
      <c r="C45" s="59">
        <v>131.13</v>
      </c>
      <c r="D45" s="71" t="s">
        <v>93</v>
      </c>
    </row>
    <row r="46" ht="12.75">
      <c r="C46" s="62"/>
    </row>
    <row r="47" ht="12.75">
      <c r="C47" s="62">
        <f>SUM(C43:C46)</f>
        <v>440</v>
      </c>
    </row>
    <row r="48" ht="12.75">
      <c r="C48" s="62"/>
    </row>
    <row r="49" ht="12.75">
      <c r="C49" s="62"/>
    </row>
    <row r="50" ht="12.75">
      <c r="C50" s="62">
        <f>+C9+C16+C31+C35+C40+C47</f>
        <v>16460.190000000002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C1:O54"/>
  <sheetViews>
    <sheetView zoomScalePageLayoutView="0" workbookViewId="0" topLeftCell="A1">
      <selection activeCell="D16" sqref="D16"/>
    </sheetView>
  </sheetViews>
  <sheetFormatPr defaultColWidth="9.140625" defaultRowHeight="12.75"/>
  <cols>
    <col min="3" max="3" width="10.7109375" style="55" bestFit="1" customWidth="1"/>
    <col min="4" max="4" width="53.7109375" style="0" bestFit="1" customWidth="1"/>
  </cols>
  <sheetData>
    <row r="1" ht="12.75">
      <c r="D1" s="60" t="s">
        <v>78</v>
      </c>
    </row>
    <row r="2" ht="12.75">
      <c r="D2" s="60" t="s">
        <v>79</v>
      </c>
    </row>
    <row r="3" ht="12.75">
      <c r="D3" s="60" t="s">
        <v>94</v>
      </c>
    </row>
    <row r="4" ht="12.75">
      <c r="D4" s="60"/>
    </row>
    <row r="5" spans="3:4" ht="12.75">
      <c r="C5" s="63" t="s">
        <v>81</v>
      </c>
      <c r="D5" s="60" t="s">
        <v>82</v>
      </c>
    </row>
    <row r="6" spans="3:4" ht="12.75">
      <c r="C6" s="63"/>
      <c r="D6" s="60"/>
    </row>
    <row r="8" spans="3:4" ht="12.75">
      <c r="C8" s="55">
        <v>13558.76</v>
      </c>
      <c r="D8" s="60" t="s">
        <v>56</v>
      </c>
    </row>
    <row r="9" spans="3:4" ht="12.75">
      <c r="C9" s="62">
        <f>SUM(C8:C8)</f>
        <v>13558.76</v>
      </c>
      <c r="D9" s="60"/>
    </row>
    <row r="10" spans="7:8" ht="12.75">
      <c r="G10" s="67">
        <v>113.83</v>
      </c>
      <c r="H10" s="60" t="s">
        <v>83</v>
      </c>
    </row>
    <row r="11" spans="3:8" ht="12.75">
      <c r="C11" s="67">
        <v>113.83</v>
      </c>
      <c r="D11" s="60" t="s">
        <v>83</v>
      </c>
      <c r="G11" s="67">
        <v>249.19</v>
      </c>
      <c r="H11" s="60" t="s">
        <v>84</v>
      </c>
    </row>
    <row r="12" spans="3:8" ht="12.75">
      <c r="C12" s="67">
        <v>249.19</v>
      </c>
      <c r="D12" s="60" t="s">
        <v>84</v>
      </c>
      <c r="G12" s="67">
        <v>142.51</v>
      </c>
      <c r="H12" s="60" t="s">
        <v>85</v>
      </c>
    </row>
    <row r="13" spans="3:8" ht="12.75">
      <c r="C13" s="67">
        <v>142.51</v>
      </c>
      <c r="D13" s="60" t="s">
        <v>85</v>
      </c>
      <c r="G13" s="63"/>
      <c r="H13" s="60"/>
    </row>
    <row r="14" spans="3:8" ht="12.75">
      <c r="C14" s="63">
        <v>252.5</v>
      </c>
      <c r="D14" s="60" t="s">
        <v>86</v>
      </c>
      <c r="G14" s="63">
        <v>115.88</v>
      </c>
      <c r="H14" s="60" t="s">
        <v>95</v>
      </c>
    </row>
    <row r="15" spans="3:8" ht="12.75">
      <c r="C15" s="63">
        <v>115.88</v>
      </c>
      <c r="D15" s="60" t="s">
        <v>95</v>
      </c>
      <c r="G15" s="63">
        <v>324.98</v>
      </c>
      <c r="H15" s="60" t="s">
        <v>96</v>
      </c>
    </row>
    <row r="16" spans="3:8" ht="12.75">
      <c r="C16" s="63">
        <v>324.98</v>
      </c>
      <c r="D16" s="60" t="s">
        <v>96</v>
      </c>
      <c r="G16" s="63">
        <v>630</v>
      </c>
      <c r="H16" s="60" t="s">
        <v>97</v>
      </c>
    </row>
    <row r="17" spans="3:7" ht="12.75">
      <c r="C17" s="63">
        <v>630</v>
      </c>
      <c r="D17" s="60" t="s">
        <v>97</v>
      </c>
      <c r="G17" s="63">
        <v>324.98</v>
      </c>
    </row>
    <row r="18" spans="3:4" ht="12.75">
      <c r="C18" s="63"/>
      <c r="D18" s="60"/>
    </row>
    <row r="19" spans="3:4" ht="12.75">
      <c r="C19" s="63"/>
      <c r="D19" s="60"/>
    </row>
    <row r="20" spans="3:15" ht="12.75">
      <c r="C20" s="62">
        <f>SUM(C11:C17)</f>
        <v>1828.8899999999999</v>
      </c>
      <c r="O20" s="67">
        <v>113.83</v>
      </c>
    </row>
    <row r="21" ht="12.75">
      <c r="O21" s="67">
        <v>249.19</v>
      </c>
    </row>
    <row r="22" spans="4:15" ht="12.75">
      <c r="D22" s="60"/>
      <c r="O22" s="67">
        <v>142.51</v>
      </c>
    </row>
    <row r="23" spans="4:15" ht="12.75">
      <c r="D23" s="60"/>
      <c r="G23" s="153">
        <f>SUM(G10:G22)</f>
        <v>1901.37</v>
      </c>
      <c r="O23" s="63"/>
    </row>
    <row r="24" spans="4:15" ht="12.75">
      <c r="D24" s="60"/>
      <c r="O24" s="63">
        <v>115.88</v>
      </c>
    </row>
    <row r="25" spans="3:15" ht="12.75">
      <c r="C25" s="55">
        <v>1000</v>
      </c>
      <c r="D25" s="60" t="s">
        <v>98</v>
      </c>
      <c r="O25" s="63">
        <v>324.98</v>
      </c>
    </row>
    <row r="26" spans="3:15" ht="12.75">
      <c r="C26" s="62">
        <f>SUM(C22:C25)</f>
        <v>1000</v>
      </c>
      <c r="O26" s="63">
        <f>630-315</f>
        <v>315</v>
      </c>
    </row>
    <row r="27" spans="3:15" ht="12.75">
      <c r="C27" s="62"/>
      <c r="O27" s="63"/>
    </row>
    <row r="28" spans="3:15" ht="12.75">
      <c r="C28" s="59"/>
      <c r="D28" s="71"/>
      <c r="O28" s="63">
        <f>SUM(O20:O27)</f>
        <v>1261.3899999999999</v>
      </c>
    </row>
    <row r="29" spans="3:15" ht="12.75" hidden="1">
      <c r="C29" s="59"/>
      <c r="D29" s="71"/>
      <c r="O29" s="62">
        <f>SUM(O20:O26)</f>
        <v>1261.3899999999999</v>
      </c>
    </row>
    <row r="30" spans="3:4" ht="12.75" hidden="1">
      <c r="C30" s="59"/>
      <c r="D30" s="71"/>
    </row>
    <row r="31" spans="3:4" ht="12.75" hidden="1">
      <c r="C31" s="59"/>
      <c r="D31" s="71"/>
    </row>
    <row r="32" spans="3:4" ht="12.75" hidden="1">
      <c r="C32" s="59"/>
      <c r="D32" s="71"/>
    </row>
    <row r="33" spans="3:4" ht="12.75" hidden="1">
      <c r="C33" s="59"/>
      <c r="D33" s="71"/>
    </row>
    <row r="34" spans="3:4" ht="12.75" hidden="1">
      <c r="C34" s="59"/>
      <c r="D34" s="71"/>
    </row>
    <row r="35" ht="12.75">
      <c r="C35" s="62">
        <f>SUM(C28:C34)</f>
        <v>0</v>
      </c>
    </row>
    <row r="36" ht="12.75">
      <c r="C36" s="62"/>
    </row>
    <row r="37" ht="12.75">
      <c r="C37" s="62"/>
    </row>
    <row r="38" spans="3:4" ht="12.75">
      <c r="C38" s="70"/>
      <c r="D38" s="66"/>
    </row>
    <row r="39" ht="12.75">
      <c r="C39" s="62">
        <f>SUM(C38:C38)</f>
        <v>0</v>
      </c>
    </row>
    <row r="41" spans="3:8" ht="12.75">
      <c r="C41" s="62"/>
      <c r="G41" s="67">
        <v>113.83</v>
      </c>
      <c r="H41" s="60" t="s">
        <v>83</v>
      </c>
    </row>
    <row r="42" spans="3:8" ht="12.75">
      <c r="C42" s="67"/>
      <c r="D42" s="66"/>
      <c r="G42" s="67">
        <v>249.19</v>
      </c>
      <c r="H42" s="60" t="s">
        <v>84</v>
      </c>
    </row>
    <row r="43" spans="3:8" ht="12.75">
      <c r="C43" s="62"/>
      <c r="G43" s="67">
        <v>142.51</v>
      </c>
      <c r="H43" s="60" t="s">
        <v>85</v>
      </c>
    </row>
    <row r="44" spans="3:8" ht="12.75">
      <c r="C44" s="62">
        <f>SUM(C42:C43)</f>
        <v>0</v>
      </c>
      <c r="G44" s="63"/>
      <c r="H44" s="60"/>
    </row>
    <row r="45" spans="3:8" ht="12.75">
      <c r="C45" s="62"/>
      <c r="G45" s="63">
        <v>115.88</v>
      </c>
      <c r="H45" s="60" t="s">
        <v>95</v>
      </c>
    </row>
    <row r="46" spans="3:8" ht="12.75">
      <c r="C46" s="62"/>
      <c r="G46" s="63">
        <v>324.98</v>
      </c>
      <c r="H46" s="60" t="s">
        <v>96</v>
      </c>
    </row>
    <row r="47" spans="3:8" ht="12.75">
      <c r="C47" s="59"/>
      <c r="D47" s="71"/>
      <c r="G47" s="63">
        <v>315</v>
      </c>
      <c r="H47" s="60" t="s">
        <v>97</v>
      </c>
    </row>
    <row r="48" spans="3:7" ht="12.75">
      <c r="C48" s="59"/>
      <c r="D48" s="71"/>
      <c r="G48" s="63"/>
    </row>
    <row r="49" spans="3:4" ht="12.75">
      <c r="C49" s="59">
        <v>153.19</v>
      </c>
      <c r="D49" s="71" t="s">
        <v>99</v>
      </c>
    </row>
    <row r="50" ht="12.75">
      <c r="C50" s="62"/>
    </row>
    <row r="51" ht="12.75">
      <c r="C51" s="62">
        <f>SUM(C47:C50)</f>
        <v>153.19</v>
      </c>
    </row>
    <row r="52" ht="12.75">
      <c r="C52" s="62"/>
    </row>
    <row r="53" ht="12.75">
      <c r="C53" s="62"/>
    </row>
    <row r="54" spans="3:7" ht="12.75">
      <c r="C54" s="62">
        <f>+C9+C20+C35+C39+C44+C51</f>
        <v>15540.84</v>
      </c>
      <c r="G54" s="153">
        <f>SUM(G41:G53)</f>
        <v>1261.3899999999999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C1:D22"/>
  <sheetViews>
    <sheetView zoomScalePageLayoutView="0" workbookViewId="0" topLeftCell="A1">
      <selection activeCell="D13" sqref="D13"/>
    </sheetView>
  </sheetViews>
  <sheetFormatPr defaultColWidth="9.140625" defaultRowHeight="12.75"/>
  <cols>
    <col min="3" max="3" width="10.7109375" style="55" bestFit="1" customWidth="1"/>
    <col min="4" max="4" width="53.7109375" style="0" bestFit="1" customWidth="1"/>
  </cols>
  <sheetData>
    <row r="1" ht="12.75">
      <c r="D1" s="60" t="s">
        <v>78</v>
      </c>
    </row>
    <row r="2" ht="12.75">
      <c r="D2" s="60" t="s">
        <v>79</v>
      </c>
    </row>
    <row r="3" ht="12.75">
      <c r="D3" s="60" t="s">
        <v>100</v>
      </c>
    </row>
    <row r="4" ht="12.75">
      <c r="D4" s="60"/>
    </row>
    <row r="5" spans="3:4" ht="12.75">
      <c r="C5" s="63" t="s">
        <v>81</v>
      </c>
      <c r="D5" s="60" t="s">
        <v>82</v>
      </c>
    </row>
    <row r="6" spans="3:4" ht="12.75">
      <c r="C6" s="63"/>
      <c r="D6" s="60"/>
    </row>
    <row r="8" spans="3:4" ht="12.75">
      <c r="C8" s="55">
        <v>13641.68</v>
      </c>
      <c r="D8" s="60" t="s">
        <v>56</v>
      </c>
    </row>
    <row r="9" spans="3:4" ht="12.75">
      <c r="C9" s="62">
        <f>SUM(C8:C8)</f>
        <v>13641.68</v>
      </c>
      <c r="D9" s="60"/>
    </row>
    <row r="11" spans="3:4" ht="12.75">
      <c r="C11" s="67">
        <v>126.48</v>
      </c>
      <c r="D11" s="60" t="s">
        <v>83</v>
      </c>
    </row>
    <row r="12" spans="3:4" ht="12.75">
      <c r="C12" s="67">
        <v>276.87</v>
      </c>
      <c r="D12" s="60" t="s">
        <v>84</v>
      </c>
    </row>
    <row r="13" spans="3:4" ht="12.75">
      <c r="C13" s="67">
        <v>162.41</v>
      </c>
      <c r="D13" s="60" t="s">
        <v>85</v>
      </c>
    </row>
    <row r="14" spans="3:4" ht="12.75">
      <c r="C14" s="63">
        <v>115.88</v>
      </c>
      <c r="D14" s="60" t="s">
        <v>95</v>
      </c>
    </row>
    <row r="15" spans="3:4" ht="12.75">
      <c r="C15" s="63"/>
      <c r="D15" s="60"/>
    </row>
    <row r="16" ht="12.75">
      <c r="C16" s="62">
        <f>SUM(C11:C14)</f>
        <v>681.64</v>
      </c>
    </row>
    <row r="18" ht="12.75">
      <c r="C18" s="62"/>
    </row>
    <row r="19" ht="12.75">
      <c r="C19" s="62">
        <f>SUM(C18:C18)</f>
        <v>0</v>
      </c>
    </row>
    <row r="20" ht="12.75">
      <c r="C20" s="62"/>
    </row>
    <row r="21" ht="12.75">
      <c r="C21" s="62"/>
    </row>
    <row r="22" ht="12.75">
      <c r="C22" s="62">
        <f>+C9+C16</f>
        <v>14323.32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C1:L25"/>
  <sheetViews>
    <sheetView zoomScalePageLayoutView="0" workbookViewId="0" topLeftCell="A1">
      <selection activeCell="C9" sqref="C9"/>
    </sheetView>
  </sheetViews>
  <sheetFormatPr defaultColWidth="9.140625" defaultRowHeight="12.75"/>
  <cols>
    <col min="3" max="3" width="10.7109375" style="55" bestFit="1" customWidth="1"/>
    <col min="4" max="4" width="53.7109375" style="0" bestFit="1" customWidth="1"/>
    <col min="6" max="6" width="10.140625" style="0" bestFit="1" customWidth="1"/>
    <col min="7" max="10" width="0" style="0" hidden="1" customWidth="1"/>
    <col min="11" max="11" width="56.28125" style="0" bestFit="1" customWidth="1"/>
  </cols>
  <sheetData>
    <row r="1" ht="12.75">
      <c r="D1" s="60" t="s">
        <v>78</v>
      </c>
    </row>
    <row r="2" ht="12.75">
      <c r="D2" s="60" t="s">
        <v>79</v>
      </c>
    </row>
    <row r="3" ht="12.75">
      <c r="D3" s="60" t="s">
        <v>100</v>
      </c>
    </row>
    <row r="4" ht="12.75">
      <c r="D4" s="60"/>
    </row>
    <row r="5" spans="3:4" ht="12.75">
      <c r="C5" s="63" t="s">
        <v>81</v>
      </c>
      <c r="D5" s="60" t="s">
        <v>82</v>
      </c>
    </row>
    <row r="6" spans="3:12" ht="12.75">
      <c r="C6" s="63"/>
      <c r="D6" s="60"/>
      <c r="F6" s="156"/>
      <c r="G6" s="157"/>
      <c r="H6" s="157"/>
      <c r="I6" s="158"/>
      <c r="J6" s="66"/>
      <c r="K6" s="66"/>
      <c r="L6" s="67"/>
    </row>
    <row r="7" spans="6:12" ht="12.75">
      <c r="F7" s="156"/>
      <c r="G7" s="157"/>
      <c r="H7" s="157"/>
      <c r="I7" s="158"/>
      <c r="J7" s="66"/>
      <c r="K7" s="66"/>
      <c r="L7" s="67"/>
    </row>
    <row r="8" spans="3:12" ht="12.75">
      <c r="C8" s="55">
        <v>13719.08</v>
      </c>
      <c r="D8" s="60" t="s">
        <v>56</v>
      </c>
      <c r="F8" s="156"/>
      <c r="G8" s="157"/>
      <c r="H8" s="157"/>
      <c r="I8" s="158"/>
      <c r="J8" s="66"/>
      <c r="K8" s="66"/>
      <c r="L8" s="67"/>
    </row>
    <row r="9" spans="3:12" ht="12.75">
      <c r="C9" s="62">
        <f>SUM(C8:C8)</f>
        <v>13719.08</v>
      </c>
      <c r="D9" s="60"/>
      <c r="F9" s="156"/>
      <c r="G9" s="157"/>
      <c r="H9" s="157"/>
      <c r="I9" s="158"/>
      <c r="J9" s="66"/>
      <c r="K9" s="66"/>
      <c r="L9" s="67"/>
    </row>
    <row r="10" spans="6:12" ht="12.75">
      <c r="F10" s="156"/>
      <c r="G10" s="157"/>
      <c r="H10" s="157"/>
      <c r="I10" s="158"/>
      <c r="J10" s="66"/>
      <c r="K10" s="66"/>
      <c r="L10" s="67"/>
    </row>
    <row r="11" spans="3:12" ht="12.75">
      <c r="C11" s="67">
        <v>126.48</v>
      </c>
      <c r="D11" s="60" t="s">
        <v>83</v>
      </c>
      <c r="F11" s="156"/>
      <c r="G11" s="157"/>
      <c r="H11" s="157"/>
      <c r="I11" s="158"/>
      <c r="J11" s="66"/>
      <c r="K11" s="66"/>
      <c r="L11" s="67"/>
    </row>
    <row r="12" spans="3:12" ht="12.75">
      <c r="C12" s="67">
        <v>276.87</v>
      </c>
      <c r="D12" s="60" t="s">
        <v>84</v>
      </c>
      <c r="F12" s="156"/>
      <c r="G12" s="157"/>
      <c r="H12" s="157"/>
      <c r="I12" s="158"/>
      <c r="J12" s="66"/>
      <c r="K12" s="66"/>
      <c r="L12" s="67"/>
    </row>
    <row r="13" spans="3:12" ht="12.75">
      <c r="C13" s="67">
        <v>162.47</v>
      </c>
      <c r="D13" s="60" t="s">
        <v>85</v>
      </c>
      <c r="F13" s="159"/>
      <c r="G13" s="159"/>
      <c r="H13" s="159"/>
      <c r="I13" s="159"/>
      <c r="J13" s="159"/>
      <c r="K13" s="159"/>
      <c r="L13" s="159"/>
    </row>
    <row r="14" spans="3:4" ht="12.75">
      <c r="C14" s="63">
        <v>115.88</v>
      </c>
      <c r="D14" s="60" t="s">
        <v>95</v>
      </c>
    </row>
    <row r="15" spans="3:4" ht="12.75">
      <c r="C15" s="63">
        <v>246.98</v>
      </c>
      <c r="D15" s="60" t="s">
        <v>113</v>
      </c>
    </row>
    <row r="16" spans="3:4" ht="12.75">
      <c r="C16" s="63">
        <v>246.98</v>
      </c>
      <c r="D16" s="60" t="s">
        <v>114</v>
      </c>
    </row>
    <row r="17" spans="3:4" ht="12.75">
      <c r="C17" s="63">
        <v>299.25</v>
      </c>
      <c r="D17" s="60" t="s">
        <v>115</v>
      </c>
    </row>
    <row r="18" spans="3:4" ht="12.75">
      <c r="C18" s="63"/>
      <c r="D18" s="60"/>
    </row>
    <row r="19" ht="12.75">
      <c r="C19" s="62">
        <f>SUM(C11:C17)</f>
        <v>1474.91</v>
      </c>
    </row>
    <row r="21" ht="12.75">
      <c r="C21" s="62"/>
    </row>
    <row r="22" ht="12.75">
      <c r="C22" s="62">
        <f>SUM(C21:C21)</f>
        <v>0</v>
      </c>
    </row>
    <row r="23" ht="12.75">
      <c r="C23" s="62"/>
    </row>
    <row r="24" ht="12.75">
      <c r="C24" s="62"/>
    </row>
    <row r="25" ht="12.75">
      <c r="C25" s="62">
        <f>+C9+C19</f>
        <v>15193.99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joseroberto</dc:creator>
  <cp:keywords/>
  <dc:description/>
  <cp:lastModifiedBy>jose.menegardo</cp:lastModifiedBy>
  <cp:lastPrinted>2014-08-14T19:31:20Z</cp:lastPrinted>
  <dcterms:created xsi:type="dcterms:W3CDTF">2004-07-22T14:56:02Z</dcterms:created>
  <dcterms:modified xsi:type="dcterms:W3CDTF">2014-08-14T21:23:29Z</dcterms:modified>
  <cp:category/>
  <cp:version/>
  <cp:contentType/>
  <cp:contentStatus/>
  <cp:revision>1</cp:revision>
</cp:coreProperties>
</file>